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https://d.docs.live.net/12a20897155f5fb3/Dokumente/Transfer/Altersvorsogrdepot/"/>
    </mc:Choice>
  </mc:AlternateContent>
  <xr:revisionPtr revIDLastSave="5348" documentId="8_{C9469E36-593E-1F49-9FCB-26E786F62BF8}" xr6:coauthVersionLast="47" xr6:coauthVersionMax="47" xr10:uidLastSave="{828249AE-58B4-BF49-83ED-38B8A90F755C}"/>
  <workbookProtection workbookAlgorithmName="SHA-512" workbookHashValue="0+rqBzBKUOAamBdkddNL6BHACoOkN8qgxs2gQjdHCWquLNwYQH8PUy36RdwFU9apyN4kxcM6bO88mbrcUm9IaQ==" workbookSaltValue="p02l7fKw8NKA4/3ubuj3aA==" workbookSpinCount="100000" lockStructure="1"/>
  <bookViews>
    <workbookView xWindow="0" yWindow="600" windowWidth="51200" windowHeight="28200" tabRatio="500" xr2:uid="{00000000-000D-0000-FFFF-FFFF00000000}"/>
  </bookViews>
  <sheets>
    <sheet name="Rechner" sheetId="1" r:id="rId1"/>
    <sheet name="Jahresverlauf" sheetId="2" r:id="rId2"/>
    <sheet name="Auszahlung" sheetId="3" r:id="rId3"/>
    <sheet name="Kündigung" sheetId="4" r:id="rId4"/>
    <sheet name="Diagramm" sheetId="5" r:id="rId5"/>
    <sheet name="Erläuterungen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6" i="1" l="1"/>
  <c r="C7" i="1" s="1"/>
  <c r="C62" i="3"/>
  <c r="C13" i="3"/>
  <c r="C14" i="3" s="1"/>
  <c r="B53" i="2" l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7" i="2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99" i="2" l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F20" i="1" l="1"/>
  <c r="D60" i="3"/>
  <c r="C5" i="4"/>
  <c r="C12" i="3"/>
  <c r="C7" i="4"/>
  <c r="B39" i="1"/>
  <c r="C21" i="1"/>
  <c r="F26" i="1"/>
  <c r="F25" i="1"/>
  <c r="C17" i="4" l="1"/>
  <c r="C43" i="3" s="1"/>
  <c r="C27" i="4" l="1"/>
  <c r="C138" i="2" l="1"/>
  <c r="C129" i="2"/>
  <c r="C136" i="2"/>
  <c r="C122" i="2"/>
  <c r="C104" i="2"/>
  <c r="C118" i="2"/>
  <c r="C137" i="2"/>
  <c r="C131" i="2"/>
  <c r="C103" i="2"/>
  <c r="C116" i="2"/>
  <c r="C108" i="2"/>
  <c r="C121" i="2"/>
  <c r="C132" i="2"/>
  <c r="C105" i="2"/>
  <c r="C135" i="2"/>
  <c r="C134" i="2"/>
  <c r="C101" i="2"/>
  <c r="C102" i="2"/>
  <c r="C124" i="2"/>
  <c r="C125" i="2"/>
  <c r="C127" i="2"/>
  <c r="C110" i="2"/>
  <c r="C119" i="2"/>
  <c r="C113" i="2"/>
  <c r="C106" i="2"/>
  <c r="C123" i="2"/>
  <c r="C115" i="2"/>
  <c r="C117" i="2"/>
  <c r="C109" i="2"/>
  <c r="C111" i="2"/>
  <c r="C100" i="2"/>
  <c r="C114" i="2"/>
  <c r="C133" i="2"/>
  <c r="C130" i="2"/>
  <c r="C126" i="2"/>
  <c r="C107" i="2"/>
  <c r="C128" i="2"/>
  <c r="C139" i="2"/>
  <c r="C112" i="2"/>
  <c r="C120" i="2"/>
  <c r="C99" i="2"/>
  <c r="F99" i="2" s="1"/>
  <c r="G99" i="2" l="1"/>
  <c r="F100" i="2"/>
  <c r="F101" i="2" s="1"/>
  <c r="F102" i="2" s="1"/>
  <c r="C15" i="4"/>
  <c r="C36" i="3"/>
  <c r="H99" i="2"/>
  <c r="F103" i="2"/>
  <c r="C41" i="3"/>
  <c r="C52" i="3" s="1"/>
  <c r="G102" i="2"/>
  <c r="G101" i="2" l="1"/>
  <c r="G100" i="2"/>
  <c r="H100" i="2" s="1"/>
  <c r="G103" i="2"/>
  <c r="F104" i="2"/>
  <c r="H101" i="2"/>
  <c r="H102" i="2"/>
  <c r="H103" i="2" l="1"/>
  <c r="G104" i="2"/>
  <c r="H104" i="2" s="1"/>
  <c r="F105" i="2"/>
  <c r="G105" i="2" l="1"/>
  <c r="H105" i="2" s="1"/>
  <c r="F106" i="2"/>
  <c r="G106" i="2" l="1"/>
  <c r="H106" i="2" s="1"/>
  <c r="F107" i="2"/>
  <c r="G107" i="2" l="1"/>
  <c r="F108" i="2"/>
  <c r="H107" i="2"/>
  <c r="G108" i="2" l="1"/>
  <c r="F109" i="2"/>
  <c r="G109" i="2" l="1"/>
  <c r="F110" i="2"/>
  <c r="H108" i="2"/>
  <c r="H109" i="2" l="1"/>
  <c r="G110" i="2"/>
  <c r="F111" i="2"/>
  <c r="H110" i="2" l="1"/>
  <c r="F112" i="2"/>
  <c r="G111" i="2"/>
  <c r="F113" i="2" l="1"/>
  <c r="G112" i="2"/>
  <c r="H111" i="2"/>
  <c r="F114" i="2" l="1"/>
  <c r="G113" i="2"/>
  <c r="H112" i="2"/>
  <c r="F115" i="2" l="1"/>
  <c r="G114" i="2"/>
  <c r="H113" i="2"/>
  <c r="H114" i="2" l="1"/>
  <c r="F116" i="2"/>
  <c r="G115" i="2"/>
  <c r="H115" i="2" l="1"/>
  <c r="F117" i="2"/>
  <c r="G116" i="2"/>
  <c r="G117" i="2" l="1"/>
  <c r="F118" i="2"/>
  <c r="H116" i="2"/>
  <c r="F119" i="2" l="1"/>
  <c r="G118" i="2"/>
  <c r="H117" i="2"/>
  <c r="H118" i="2" l="1"/>
  <c r="F120" i="2"/>
  <c r="G119" i="2"/>
  <c r="H119" i="2" l="1"/>
  <c r="F121" i="2"/>
  <c r="G120" i="2"/>
  <c r="H120" i="2" l="1"/>
  <c r="G121" i="2"/>
  <c r="F122" i="2"/>
  <c r="F123" i="2" l="1"/>
  <c r="G122" i="2"/>
  <c r="H121" i="2"/>
  <c r="F124" i="2" l="1"/>
  <c r="G123" i="2"/>
  <c r="H122" i="2"/>
  <c r="F125" i="2" l="1"/>
  <c r="G124" i="2"/>
  <c r="H123" i="2"/>
  <c r="H124" i="2" l="1"/>
  <c r="G125" i="2"/>
  <c r="F126" i="2"/>
  <c r="F127" i="2" l="1"/>
  <c r="G126" i="2"/>
  <c r="H125" i="2"/>
  <c r="H126" i="2" l="1"/>
  <c r="F128" i="2"/>
  <c r="G127" i="2"/>
  <c r="G128" i="2" l="1"/>
  <c r="H128" i="2" s="1"/>
  <c r="H139" i="2" s="1"/>
  <c r="F139" i="2"/>
  <c r="C11" i="3" s="1"/>
  <c r="F129" i="2"/>
  <c r="H127" i="2"/>
  <c r="F130" i="2" l="1"/>
  <c r="G129" i="2"/>
  <c r="C29" i="3"/>
  <c r="C12" i="4"/>
  <c r="G139" i="2"/>
  <c r="F131" i="2" l="1"/>
  <c r="G130" i="2"/>
  <c r="C40" i="3"/>
  <c r="C42" i="3" s="1"/>
  <c r="C44" i="3" s="1"/>
  <c r="C46" i="3" s="1"/>
  <c r="C30" i="3"/>
  <c r="H129" i="2"/>
  <c r="H130" i="2" l="1"/>
  <c r="C50" i="3"/>
  <c r="F132" i="2"/>
  <c r="G131" i="2"/>
  <c r="C45" i="3"/>
  <c r="C48" i="3" s="1"/>
  <c r="C49" i="3" s="1"/>
  <c r="C31" i="3"/>
  <c r="C34" i="3" s="1"/>
  <c r="C47" i="3" l="1"/>
  <c r="H131" i="2"/>
  <c r="F133" i="2"/>
  <c r="G132" i="2"/>
  <c r="C32" i="3"/>
  <c r="C33" i="3" s="1"/>
  <c r="D50" i="3"/>
  <c r="C53" i="3"/>
  <c r="C51" i="3"/>
  <c r="F134" i="2" l="1"/>
  <c r="G133" i="2"/>
  <c r="C37" i="3"/>
  <c r="C35" i="3"/>
  <c r="H132" i="2"/>
  <c r="H133" i="2" l="1"/>
  <c r="F135" i="2"/>
  <c r="G134" i="2"/>
  <c r="H134" i="2" s="1"/>
  <c r="G135" i="2" l="1"/>
  <c r="H135" i="2" s="1"/>
  <c r="F136" i="2"/>
  <c r="G136" i="2" l="1"/>
  <c r="H136" i="2" s="1"/>
  <c r="F137" i="2"/>
  <c r="G137" i="2" l="1"/>
  <c r="F138" i="2"/>
  <c r="H137" i="2" l="1"/>
  <c r="G138" i="2"/>
  <c r="H138" i="2" l="1"/>
  <c r="C81" i="2"/>
  <c r="C35" i="2" s="1"/>
  <c r="C77" i="2"/>
  <c r="C31" i="2" s="1"/>
  <c r="C64" i="2"/>
  <c r="C18" i="2" s="1"/>
  <c r="C91" i="2"/>
  <c r="C45" i="2" s="1"/>
  <c r="C86" i="2"/>
  <c r="C40" i="2" s="1"/>
  <c r="C61" i="2"/>
  <c r="C15" i="2" s="1"/>
  <c r="C56" i="2"/>
  <c r="C10" i="2" s="1"/>
  <c r="C67" i="2"/>
  <c r="C21" i="2" s="1"/>
  <c r="C68" i="2"/>
  <c r="C22" i="2" s="1"/>
  <c r="C57" i="2"/>
  <c r="C11" i="2" s="1"/>
  <c r="C76" i="2"/>
  <c r="C30" i="2" s="1"/>
  <c r="C75" i="2"/>
  <c r="C29" i="2" s="1"/>
  <c r="C69" i="2"/>
  <c r="C23" i="2" s="1"/>
  <c r="C71" i="2"/>
  <c r="C25" i="2" s="1"/>
  <c r="C78" i="2"/>
  <c r="C32" i="2" s="1"/>
  <c r="C88" i="2"/>
  <c r="C42" i="2" s="1"/>
  <c r="C87" i="2"/>
  <c r="C41" i="2" s="1"/>
  <c r="C66" i="2"/>
  <c r="C20" i="2" s="1"/>
  <c r="C72" i="2"/>
  <c r="C26" i="2" s="1"/>
  <c r="C92" i="2"/>
  <c r="C46" i="2" s="1"/>
  <c r="C55" i="2"/>
  <c r="C9" i="2" s="1"/>
  <c r="C58" i="2"/>
  <c r="C12" i="2" s="1"/>
  <c r="C73" i="2"/>
  <c r="C27" i="2" s="1"/>
  <c r="C80" i="2"/>
  <c r="C34" i="2" s="1"/>
  <c r="C74" i="2"/>
  <c r="C28" i="2" s="1"/>
  <c r="C53" i="2"/>
  <c r="C7" i="2" s="1"/>
  <c r="J7" i="2" s="1"/>
  <c r="C85" i="2"/>
  <c r="C39" i="2" s="1"/>
  <c r="C90" i="2"/>
  <c r="C44" i="2" s="1"/>
  <c r="C70" i="2"/>
  <c r="C24" i="2" s="1"/>
  <c r="C63" i="2"/>
  <c r="C17" i="2" s="1"/>
  <c r="C60" i="2"/>
  <c r="C14" i="2" s="1"/>
  <c r="C59" i="2"/>
  <c r="C13" i="2" s="1"/>
  <c r="C65" i="2"/>
  <c r="C19" i="2" s="1"/>
  <c r="C79" i="2"/>
  <c r="C33" i="2" s="1"/>
  <c r="C62" i="2"/>
  <c r="C16" i="2" s="1"/>
  <c r="C83" i="2"/>
  <c r="C37" i="2" s="1"/>
  <c r="C84" i="2"/>
  <c r="C38" i="2" s="1"/>
  <c r="C89" i="2"/>
  <c r="C43" i="2" s="1"/>
  <c r="C54" i="2"/>
  <c r="C8" i="2" s="1"/>
  <c r="C33" i="1"/>
  <c r="D59" i="2" s="1"/>
  <c r="D13" i="2" s="1"/>
  <c r="C82" i="2"/>
  <c r="C36" i="2" s="1"/>
  <c r="C93" i="2"/>
  <c r="C49" i="1" s="1"/>
  <c r="E49" i="1" s="1"/>
  <c r="B32" i="1"/>
  <c r="E32" i="1" s="1"/>
  <c r="K7" i="2"/>
  <c r="C9" i="1"/>
  <c r="D74" i="2" l="1"/>
  <c r="D28" i="2" s="1"/>
  <c r="C35" i="1"/>
  <c r="D58" i="2"/>
  <c r="D12" i="2" s="1"/>
  <c r="D89" i="2"/>
  <c r="D43" i="2" s="1"/>
  <c r="E91" i="2"/>
  <c r="E45" i="2" s="1"/>
  <c r="D76" i="2"/>
  <c r="D30" i="2" s="1"/>
  <c r="D65" i="2"/>
  <c r="D19" i="2" s="1"/>
  <c r="D63" i="2"/>
  <c r="D17" i="2" s="1"/>
  <c r="E73" i="2"/>
  <c r="E27" i="2" s="1"/>
  <c r="E64" i="2"/>
  <c r="E18" i="2" s="1"/>
  <c r="D92" i="2"/>
  <c r="D46" i="2" s="1"/>
  <c r="E68" i="2"/>
  <c r="E22" i="2" s="1"/>
  <c r="E54" i="2"/>
  <c r="E8" i="2" s="1"/>
  <c r="D68" i="2"/>
  <c r="D22" i="2" s="1"/>
  <c r="E60" i="2"/>
  <c r="E14" i="2" s="1"/>
  <c r="D71" i="2"/>
  <c r="D25" i="2" s="1"/>
  <c r="D84" i="2"/>
  <c r="D38" i="2" s="1"/>
  <c r="D67" i="2"/>
  <c r="D21" i="2" s="1"/>
  <c r="D83" i="2"/>
  <c r="D37" i="2" s="1"/>
  <c r="D88" i="2"/>
  <c r="D42" i="2" s="1"/>
  <c r="E80" i="2"/>
  <c r="E34" i="2" s="1"/>
  <c r="E59" i="2"/>
  <c r="E13" i="2" s="1"/>
  <c r="E55" i="2"/>
  <c r="E9" i="2" s="1"/>
  <c r="E67" i="2"/>
  <c r="E21" i="2" s="1"/>
  <c r="D81" i="2"/>
  <c r="D35" i="2" s="1"/>
  <c r="E69" i="2"/>
  <c r="E23" i="2" s="1"/>
  <c r="D53" i="2"/>
  <c r="D7" i="2" s="1"/>
  <c r="E65" i="2"/>
  <c r="E19" i="2" s="1"/>
  <c r="D70" i="2"/>
  <c r="D24" i="2" s="1"/>
  <c r="D69" i="2"/>
  <c r="D23" i="2" s="1"/>
  <c r="E57" i="2"/>
  <c r="E11" i="2" s="1"/>
  <c r="D57" i="2"/>
  <c r="D11" i="2" s="1"/>
  <c r="E78" i="2"/>
  <c r="E32" i="2" s="1"/>
  <c r="E87" i="2"/>
  <c r="E41" i="2" s="1"/>
  <c r="D82" i="2"/>
  <c r="D36" i="2" s="1"/>
  <c r="E61" i="2"/>
  <c r="E15" i="2" s="1"/>
  <c r="E88" i="2"/>
  <c r="E42" i="2" s="1"/>
  <c r="C14" i="4"/>
  <c r="D90" i="2"/>
  <c r="D44" i="2" s="1"/>
  <c r="E89" i="2"/>
  <c r="E43" i="2" s="1"/>
  <c r="E82" i="2"/>
  <c r="E36" i="2" s="1"/>
  <c r="D73" i="2"/>
  <c r="D27" i="2" s="1"/>
  <c r="E81" i="2"/>
  <c r="E35" i="2" s="1"/>
  <c r="E72" i="2"/>
  <c r="E26" i="2" s="1"/>
  <c r="C34" i="1"/>
  <c r="F34" i="1" s="1"/>
  <c r="D54" i="2"/>
  <c r="D8" i="2" s="1"/>
  <c r="D85" i="2"/>
  <c r="D39" i="2" s="1"/>
  <c r="E85" i="2"/>
  <c r="E39" i="2" s="1"/>
  <c r="D55" i="2"/>
  <c r="D9" i="2" s="1"/>
  <c r="E84" i="2"/>
  <c r="E38" i="2" s="1"/>
  <c r="E62" i="2"/>
  <c r="E16" i="2" s="1"/>
  <c r="E92" i="2"/>
  <c r="E46" i="2" s="1"/>
  <c r="E63" i="2"/>
  <c r="E17" i="2" s="1"/>
  <c r="D78" i="2"/>
  <c r="D32" i="2" s="1"/>
  <c r="E83" i="2"/>
  <c r="E37" i="2" s="1"/>
  <c r="E79" i="2"/>
  <c r="E33" i="2" s="1"/>
  <c r="D87" i="2"/>
  <c r="D41" i="2" s="1"/>
  <c r="E70" i="2"/>
  <c r="E24" i="2" s="1"/>
  <c r="E71" i="2"/>
  <c r="E25" i="2" s="1"/>
  <c r="E86" i="2"/>
  <c r="E40" i="2" s="1"/>
  <c r="C13" i="4"/>
  <c r="C25" i="4" s="1"/>
  <c r="E90" i="2"/>
  <c r="E44" i="2" s="1"/>
  <c r="E75" i="2"/>
  <c r="E29" i="2" s="1"/>
  <c r="E58" i="2"/>
  <c r="E12" i="2" s="1"/>
  <c r="D64" i="2"/>
  <c r="D18" i="2" s="1"/>
  <c r="E74" i="2"/>
  <c r="E28" i="2" s="1"/>
  <c r="J8" i="2"/>
  <c r="K8" i="2"/>
  <c r="M8" i="2" s="1"/>
  <c r="C25" i="3"/>
  <c r="L7" i="2"/>
  <c r="M7" i="2"/>
  <c r="N7" i="2" s="1"/>
  <c r="E53" i="2"/>
  <c r="E7" i="2" s="1"/>
  <c r="D72" i="2"/>
  <c r="D26" i="2" s="1"/>
  <c r="D62" i="2"/>
  <c r="D16" i="2" s="1"/>
  <c r="D91" i="2"/>
  <c r="D45" i="2" s="1"/>
  <c r="D80" i="2"/>
  <c r="D34" i="2" s="1"/>
  <c r="D86" i="2"/>
  <c r="D40" i="2" s="1"/>
  <c r="E76" i="2"/>
  <c r="E30" i="2" s="1"/>
  <c r="D79" i="2"/>
  <c r="D33" i="2" s="1"/>
  <c r="D61" i="2"/>
  <c r="D15" i="2" s="1"/>
  <c r="E66" i="2"/>
  <c r="E20" i="2" s="1"/>
  <c r="D60" i="2"/>
  <c r="D14" i="2" s="1"/>
  <c r="E56" i="2"/>
  <c r="E10" i="2" s="1"/>
  <c r="D56" i="2"/>
  <c r="D10" i="2" s="1"/>
  <c r="D75" i="2"/>
  <c r="D29" i="2" s="1"/>
  <c r="E77" i="2"/>
  <c r="E31" i="2" s="1"/>
  <c r="D77" i="2"/>
  <c r="D31" i="2" s="1"/>
  <c r="F53" i="2"/>
  <c r="F33" i="1"/>
  <c r="F35" i="1" s="1"/>
  <c r="D66" i="2"/>
  <c r="D20" i="2" s="1"/>
  <c r="F36" i="1" l="1"/>
  <c r="L8" i="2"/>
  <c r="C36" i="1"/>
  <c r="O7" i="2"/>
  <c r="P7" i="2" s="1"/>
  <c r="Q7" i="2" s="1"/>
  <c r="G53" i="2"/>
  <c r="G7" i="2" s="1"/>
  <c r="F54" i="2"/>
  <c r="F7" i="2"/>
  <c r="H7" i="2" s="1"/>
  <c r="J9" i="2"/>
  <c r="O8" i="2"/>
  <c r="P8" i="2" s="1"/>
  <c r="Q8" i="2" s="1"/>
  <c r="K9" i="2"/>
  <c r="M9" i="2" s="1"/>
  <c r="N8" i="2"/>
  <c r="H53" i="2" l="1"/>
  <c r="C16" i="4"/>
  <c r="C21" i="4" s="1"/>
  <c r="C41" i="1"/>
  <c r="C42" i="1" s="1"/>
  <c r="C50" i="1"/>
  <c r="L9" i="2"/>
  <c r="O9" i="2" s="1"/>
  <c r="P9" i="2" s="1"/>
  <c r="Q9" i="2" s="1"/>
  <c r="K10" i="2"/>
  <c r="M10" i="2" s="1"/>
  <c r="J10" i="2"/>
  <c r="F55" i="2"/>
  <c r="F8" i="2"/>
  <c r="G54" i="2"/>
  <c r="G8" i="2" s="1"/>
  <c r="N9" i="2"/>
  <c r="C44" i="1" l="1"/>
  <c r="C43" i="1"/>
  <c r="N10" i="2"/>
  <c r="H8" i="2"/>
  <c r="H54" i="2"/>
  <c r="K11" i="2"/>
  <c r="M11" i="2" s="1"/>
  <c r="J11" i="2"/>
  <c r="G55" i="2"/>
  <c r="G9" i="2" s="1"/>
  <c r="F9" i="2"/>
  <c r="F56" i="2"/>
  <c r="L10" i="2"/>
  <c r="O10" i="2" s="1"/>
  <c r="P10" i="2" s="1"/>
  <c r="Q10" i="2" s="1"/>
  <c r="N11" i="2" l="1"/>
  <c r="C18" i="4"/>
  <c r="C22" i="4" s="1"/>
  <c r="C23" i="4" s="1"/>
  <c r="C54" i="1"/>
  <c r="C45" i="1"/>
  <c r="G56" i="2"/>
  <c r="G10" i="2" s="1"/>
  <c r="F57" i="2"/>
  <c r="F10" i="2"/>
  <c r="H10" i="2" s="1"/>
  <c r="H56" i="2"/>
  <c r="K12" i="2"/>
  <c r="M12" i="2" s="1"/>
  <c r="N12" i="2" s="1"/>
  <c r="J12" i="2"/>
  <c r="H9" i="2"/>
  <c r="L11" i="2"/>
  <c r="O11" i="2" s="1"/>
  <c r="P11" i="2" s="1"/>
  <c r="Q11" i="2" s="1"/>
  <c r="H55" i="2"/>
  <c r="K13" i="2" l="1"/>
  <c r="M13" i="2" s="1"/>
  <c r="N13" i="2" s="1"/>
  <c r="J13" i="2"/>
  <c r="F58" i="2"/>
  <c r="G57" i="2"/>
  <c r="G11" i="2" s="1"/>
  <c r="F11" i="2"/>
  <c r="L12" i="2"/>
  <c r="L13" i="2" s="1"/>
  <c r="H57" i="2" l="1"/>
  <c r="H11" i="2"/>
  <c r="F12" i="2"/>
  <c r="F59" i="2"/>
  <c r="G58" i="2"/>
  <c r="G12" i="2" s="1"/>
  <c r="O12" i="2"/>
  <c r="P12" i="2" s="1"/>
  <c r="Q12" i="2" s="1"/>
  <c r="J14" i="2"/>
  <c r="K14" i="2"/>
  <c r="M14" i="2" s="1"/>
  <c r="N14" i="2" s="1"/>
  <c r="O13" i="2"/>
  <c r="P13" i="2" s="1"/>
  <c r="Q13" i="2" s="1"/>
  <c r="H58" i="2" l="1"/>
  <c r="H12" i="2"/>
  <c r="G59" i="2"/>
  <c r="G13" i="2" s="1"/>
  <c r="F60" i="2"/>
  <c r="F13" i="2"/>
  <c r="H13" i="2" s="1"/>
  <c r="H59" i="2"/>
  <c r="K15" i="2"/>
  <c r="M15" i="2" s="1"/>
  <c r="N15" i="2" s="1"/>
  <c r="J15" i="2"/>
  <c r="L14" i="2"/>
  <c r="L15" i="2" l="1"/>
  <c r="O15" i="2" s="1"/>
  <c r="P15" i="2" s="1"/>
  <c r="Q15" i="2" s="1"/>
  <c r="J16" i="2"/>
  <c r="K16" i="2"/>
  <c r="M16" i="2" s="1"/>
  <c r="N16" i="2" s="1"/>
  <c r="O14" i="2"/>
  <c r="P14" i="2" s="1"/>
  <c r="Q14" i="2" s="1"/>
  <c r="G60" i="2"/>
  <c r="G14" i="2" s="1"/>
  <c r="F61" i="2"/>
  <c r="F14" i="2"/>
  <c r="H14" i="2" l="1"/>
  <c r="F15" i="2"/>
  <c r="F62" i="2"/>
  <c r="G61" i="2"/>
  <c r="G15" i="2" s="1"/>
  <c r="L16" i="2"/>
  <c r="K17" i="2"/>
  <c r="M17" i="2" s="1"/>
  <c r="N17" i="2" s="1"/>
  <c r="J17" i="2"/>
  <c r="O16" i="2"/>
  <c r="P16" i="2" s="1"/>
  <c r="Q16" i="2" s="1"/>
  <c r="H60" i="2"/>
  <c r="H61" i="2" l="1"/>
  <c r="J18" i="2"/>
  <c r="K18" i="2"/>
  <c r="M18" i="2" s="1"/>
  <c r="N18" i="2" s="1"/>
  <c r="L17" i="2"/>
  <c r="H15" i="2"/>
  <c r="F63" i="2"/>
  <c r="F16" i="2"/>
  <c r="G62" i="2"/>
  <c r="G16" i="2" s="1"/>
  <c r="H16" i="2" l="1"/>
  <c r="H62" i="2"/>
  <c r="F64" i="2"/>
  <c r="G63" i="2"/>
  <c r="G17" i="2" s="1"/>
  <c r="F17" i="2"/>
  <c r="H63" i="2"/>
  <c r="L18" i="2"/>
  <c r="O18" i="2" s="1"/>
  <c r="P18" i="2" s="1"/>
  <c r="Q18" i="2" s="1"/>
  <c r="O17" i="2"/>
  <c r="P17" i="2" s="1"/>
  <c r="Q17" i="2" s="1"/>
  <c r="K19" i="2"/>
  <c r="M19" i="2" s="1"/>
  <c r="N19" i="2" s="1"/>
  <c r="J19" i="2"/>
  <c r="H17" i="2" l="1"/>
  <c r="J20" i="2"/>
  <c r="K20" i="2"/>
  <c r="M20" i="2" s="1"/>
  <c r="N20" i="2" s="1"/>
  <c r="L19" i="2"/>
  <c r="F18" i="2"/>
  <c r="F65" i="2"/>
  <c r="G64" i="2"/>
  <c r="G18" i="2" s="1"/>
  <c r="L20" i="2" l="1"/>
  <c r="H64" i="2"/>
  <c r="H18" i="2"/>
  <c r="O19" i="2"/>
  <c r="P19" i="2" s="1"/>
  <c r="Q19" i="2" s="1"/>
  <c r="F19" i="2"/>
  <c r="F66" i="2"/>
  <c r="G65" i="2"/>
  <c r="G19" i="2" s="1"/>
  <c r="O20" i="2"/>
  <c r="P20" i="2" s="1"/>
  <c r="Q20" i="2" s="1"/>
  <c r="J21" i="2"/>
  <c r="K21" i="2"/>
  <c r="M21" i="2" s="1"/>
  <c r="N21" i="2" s="1"/>
  <c r="H65" i="2" l="1"/>
  <c r="H19" i="2"/>
  <c r="L21" i="2"/>
  <c r="F67" i="2"/>
  <c r="F20" i="2"/>
  <c r="G66" i="2"/>
  <c r="G20" i="2" s="1"/>
  <c r="K22" i="2"/>
  <c r="M22" i="2" s="1"/>
  <c r="N22" i="2" s="1"/>
  <c r="J22" i="2"/>
  <c r="H66" i="2" l="1"/>
  <c r="J23" i="2"/>
  <c r="K23" i="2"/>
  <c r="M23" i="2" s="1"/>
  <c r="N23" i="2" s="1"/>
  <c r="H20" i="2"/>
  <c r="L22" i="2"/>
  <c r="F21" i="2"/>
  <c r="F68" i="2"/>
  <c r="G67" i="2"/>
  <c r="G21" i="2" s="1"/>
  <c r="O21" i="2"/>
  <c r="P21" i="2" s="1"/>
  <c r="Q21" i="2" s="1"/>
  <c r="L23" i="2" l="1"/>
  <c r="H67" i="2"/>
  <c r="H21" i="2"/>
  <c r="K24" i="2"/>
  <c r="M24" i="2" s="1"/>
  <c r="N24" i="2" s="1"/>
  <c r="O23" i="2"/>
  <c r="P23" i="2" s="1"/>
  <c r="Q23" i="2" s="1"/>
  <c r="J24" i="2"/>
  <c r="G68" i="2"/>
  <c r="G22" i="2" s="1"/>
  <c r="F69" i="2"/>
  <c r="F22" i="2"/>
  <c r="H68" i="2"/>
  <c r="O22" i="2"/>
  <c r="P22" i="2" s="1"/>
  <c r="Q22" i="2" s="1"/>
  <c r="H22" i="2" l="1"/>
  <c r="F23" i="2"/>
  <c r="F70" i="2"/>
  <c r="G69" i="2"/>
  <c r="G23" i="2" s="1"/>
  <c r="J25" i="2"/>
  <c r="K25" i="2"/>
  <c r="M25" i="2" s="1"/>
  <c r="N25" i="2" s="1"/>
  <c r="L24" i="2"/>
  <c r="L25" i="2" l="1"/>
  <c r="O25" i="2" s="1"/>
  <c r="P25" i="2" s="1"/>
  <c r="Q25" i="2" s="1"/>
  <c r="J26" i="2"/>
  <c r="K26" i="2"/>
  <c r="M26" i="2" s="1"/>
  <c r="N26" i="2" s="1"/>
  <c r="O24" i="2"/>
  <c r="P24" i="2" s="1"/>
  <c r="Q24" i="2" s="1"/>
  <c r="H69" i="2"/>
  <c r="H23" i="2"/>
  <c r="F71" i="2"/>
  <c r="G70" i="2"/>
  <c r="G24" i="2" s="1"/>
  <c r="F24" i="2"/>
  <c r="H24" i="2" s="1"/>
  <c r="F72" i="2" l="1"/>
  <c r="G71" i="2"/>
  <c r="G25" i="2" s="1"/>
  <c r="F25" i="2"/>
  <c r="K27" i="2"/>
  <c r="M27" i="2" s="1"/>
  <c r="N27" i="2" s="1"/>
  <c r="J27" i="2"/>
  <c r="L26" i="2"/>
  <c r="H70" i="2"/>
  <c r="H25" i="2" l="1"/>
  <c r="L27" i="2"/>
  <c r="O27" i="2" s="1"/>
  <c r="P27" i="2" s="1"/>
  <c r="Q27" i="2" s="1"/>
  <c r="J28" i="2"/>
  <c r="K28" i="2"/>
  <c r="M28" i="2" s="1"/>
  <c r="N28" i="2" s="1"/>
  <c r="O26" i="2"/>
  <c r="P26" i="2" s="1"/>
  <c r="Q26" i="2" s="1"/>
  <c r="H71" i="2"/>
  <c r="G72" i="2"/>
  <c r="G26" i="2" s="1"/>
  <c r="F26" i="2"/>
  <c r="F73" i="2"/>
  <c r="H26" i="2" l="1"/>
  <c r="K29" i="2"/>
  <c r="M29" i="2" s="1"/>
  <c r="N29" i="2" s="1"/>
  <c r="J29" i="2"/>
  <c r="H72" i="2"/>
  <c r="L28" i="2"/>
  <c r="L29" i="2" s="1"/>
  <c r="G73" i="2"/>
  <c r="G27" i="2" s="1"/>
  <c r="F74" i="2"/>
  <c r="F27" i="2"/>
  <c r="H27" i="2" s="1"/>
  <c r="O28" i="2" l="1"/>
  <c r="P28" i="2" s="1"/>
  <c r="Q28" i="2" s="1"/>
  <c r="F75" i="2"/>
  <c r="F28" i="2"/>
  <c r="G74" i="2"/>
  <c r="G28" i="2" s="1"/>
  <c r="H74" i="2"/>
  <c r="J30" i="2"/>
  <c r="O29" i="2"/>
  <c r="P29" i="2" s="1"/>
  <c r="Q29" i="2" s="1"/>
  <c r="K30" i="2"/>
  <c r="M30" i="2" s="1"/>
  <c r="N30" i="2" s="1"/>
  <c r="H73" i="2"/>
  <c r="F76" i="2" l="1"/>
  <c r="G75" i="2"/>
  <c r="G29" i="2" s="1"/>
  <c r="F29" i="2"/>
  <c r="L30" i="2"/>
  <c r="O30" i="2"/>
  <c r="P30" i="2" s="1"/>
  <c r="Q30" i="2" s="1"/>
  <c r="K31" i="2"/>
  <c r="M31" i="2" s="1"/>
  <c r="N31" i="2" s="1"/>
  <c r="J31" i="2"/>
  <c r="H28" i="2"/>
  <c r="H75" i="2" l="1"/>
  <c r="H29" i="2"/>
  <c r="J32" i="2"/>
  <c r="K32" i="2"/>
  <c r="M32" i="2" s="1"/>
  <c r="N32" i="2" s="1"/>
  <c r="L31" i="2"/>
  <c r="F30" i="2"/>
  <c r="G76" i="2"/>
  <c r="G30" i="2" s="1"/>
  <c r="F77" i="2"/>
  <c r="F31" i="2" l="1"/>
  <c r="F78" i="2"/>
  <c r="G77" i="2"/>
  <c r="G31" i="2" s="1"/>
  <c r="L32" i="2"/>
  <c r="O32" i="2" s="1"/>
  <c r="P32" i="2" s="1"/>
  <c r="Q32" i="2" s="1"/>
  <c r="H30" i="2"/>
  <c r="K33" i="2"/>
  <c r="M33" i="2" s="1"/>
  <c r="N33" i="2" s="1"/>
  <c r="J33" i="2"/>
  <c r="O31" i="2"/>
  <c r="P31" i="2" s="1"/>
  <c r="Q31" i="2" s="1"/>
  <c r="H76" i="2"/>
  <c r="H77" i="2" l="1"/>
  <c r="L33" i="2"/>
  <c r="H31" i="2"/>
  <c r="G78" i="2"/>
  <c r="G32" i="2" s="1"/>
  <c r="F79" i="2"/>
  <c r="F32" i="2"/>
  <c r="K34" i="2"/>
  <c r="M34" i="2" s="1"/>
  <c r="N34" i="2" s="1"/>
  <c r="O33" i="2"/>
  <c r="P33" i="2" s="1"/>
  <c r="Q33" i="2" s="1"/>
  <c r="J34" i="2"/>
  <c r="H78" i="2" l="1"/>
  <c r="H32" i="2"/>
  <c r="F33" i="2"/>
  <c r="F80" i="2"/>
  <c r="G79" i="2"/>
  <c r="G33" i="2" s="1"/>
  <c r="L34" i="2"/>
  <c r="O34" i="2"/>
  <c r="P34" i="2" s="1"/>
  <c r="Q34" i="2" s="1"/>
  <c r="J35" i="2"/>
  <c r="K35" i="2"/>
  <c r="M35" i="2" s="1"/>
  <c r="N35" i="2" s="1"/>
  <c r="J36" i="2" l="1"/>
  <c r="K36" i="2"/>
  <c r="M36" i="2" s="1"/>
  <c r="N36" i="2" s="1"/>
  <c r="L35" i="2"/>
  <c r="H79" i="2"/>
  <c r="F81" i="2"/>
  <c r="F34" i="2"/>
  <c r="G80" i="2"/>
  <c r="G34" i="2" s="1"/>
  <c r="H33" i="2"/>
  <c r="L36" i="2" l="1"/>
  <c r="O36" i="2" s="1"/>
  <c r="P36" i="2" s="1"/>
  <c r="P47" i="2" s="1"/>
  <c r="E52" i="1" s="1"/>
  <c r="H80" i="2"/>
  <c r="H34" i="2"/>
  <c r="N47" i="2"/>
  <c r="E54" i="1" s="1"/>
  <c r="F35" i="2"/>
  <c r="G81" i="2"/>
  <c r="G35" i="2" s="1"/>
  <c r="F82" i="2"/>
  <c r="H81" i="2"/>
  <c r="L37" i="2"/>
  <c r="O35" i="2"/>
  <c r="P35" i="2" s="1"/>
  <c r="Q35" i="2" s="1"/>
  <c r="J37" i="2"/>
  <c r="K37" i="2"/>
  <c r="M37" i="2" s="1"/>
  <c r="N37" i="2" s="1"/>
  <c r="K38" i="2" l="1"/>
  <c r="M38" i="2" s="1"/>
  <c r="N38" i="2" s="1"/>
  <c r="J38" i="2"/>
  <c r="O37" i="2"/>
  <c r="P37" i="2" s="1"/>
  <c r="Q37" i="2" s="1"/>
  <c r="F36" i="2"/>
  <c r="G82" i="2"/>
  <c r="F93" i="2"/>
  <c r="C10" i="3" s="1"/>
  <c r="F83" i="2"/>
  <c r="H35" i="2"/>
  <c r="Q36" i="2"/>
  <c r="Q47" i="2" s="1"/>
  <c r="E51" i="1" s="1"/>
  <c r="E53" i="1" s="1"/>
  <c r="L38" i="2" l="1"/>
  <c r="C11" i="4"/>
  <c r="C18" i="3"/>
  <c r="C19" i="3"/>
  <c r="O38" i="2"/>
  <c r="P38" i="2" s="1"/>
  <c r="Q38" i="2" s="1"/>
  <c r="K39" i="2"/>
  <c r="M39" i="2" s="1"/>
  <c r="N39" i="2" s="1"/>
  <c r="J39" i="2"/>
  <c r="G36" i="2"/>
  <c r="G47" i="2" s="1"/>
  <c r="G93" i="2"/>
  <c r="F47" i="2"/>
  <c r="H82" i="2"/>
  <c r="H93" i="2" s="1"/>
  <c r="F37" i="2"/>
  <c r="G83" i="2"/>
  <c r="G37" i="2" s="1"/>
  <c r="F84" i="2"/>
  <c r="H83" i="2" l="1"/>
  <c r="H37" i="2"/>
  <c r="H36" i="2"/>
  <c r="H47" i="2" s="1"/>
  <c r="C20" i="3"/>
  <c r="C23" i="3" s="1"/>
  <c r="C56" i="3" s="1"/>
  <c r="F38" i="2"/>
  <c r="G84" i="2"/>
  <c r="G38" i="2" s="1"/>
  <c r="F85" i="2"/>
  <c r="H84" i="2"/>
  <c r="C9" i="3"/>
  <c r="C51" i="1"/>
  <c r="J40" i="2"/>
  <c r="K40" i="2"/>
  <c r="M40" i="2" s="1"/>
  <c r="N40" i="2" s="1"/>
  <c r="L39" i="2"/>
  <c r="L40" i="2" l="1"/>
  <c r="C21" i="3"/>
  <c r="C22" i="3" s="1"/>
  <c r="C24" i="3" s="1"/>
  <c r="C68" i="3"/>
  <c r="C63" i="3"/>
  <c r="C10" i="4"/>
  <c r="C61" i="3"/>
  <c r="C64" i="3" s="1"/>
  <c r="C73" i="3" s="1"/>
  <c r="C78" i="3" s="1"/>
  <c r="H38" i="2"/>
  <c r="F39" i="2"/>
  <c r="G85" i="2"/>
  <c r="G39" i="2" s="1"/>
  <c r="F86" i="2"/>
  <c r="O39" i="2"/>
  <c r="P39" i="2" s="1"/>
  <c r="Q39" i="2" s="1"/>
  <c r="J41" i="2"/>
  <c r="K41" i="2"/>
  <c r="M41" i="2" s="1"/>
  <c r="N41" i="2" s="1"/>
  <c r="O40" i="2"/>
  <c r="P40" i="2" s="1"/>
  <c r="Q40" i="2" s="1"/>
  <c r="C26" i="3" l="1"/>
  <c r="C55" i="3"/>
  <c r="H39" i="2"/>
  <c r="C24" i="4"/>
  <c r="C26" i="4" s="1"/>
  <c r="C28" i="4" s="1"/>
  <c r="C29" i="4" s="1"/>
  <c r="C30" i="4" s="1"/>
  <c r="C58" i="1" s="1"/>
  <c r="C59" i="1" s="1"/>
  <c r="J42" i="2"/>
  <c r="K42" i="2"/>
  <c r="M42" i="2" s="1"/>
  <c r="N42" i="2" s="1"/>
  <c r="L41" i="2"/>
  <c r="O41" i="2" s="1"/>
  <c r="P41" i="2" s="1"/>
  <c r="Q41" i="2" s="1"/>
  <c r="C66" i="3"/>
  <c r="C65" i="3"/>
  <c r="F40" i="2"/>
  <c r="G86" i="2"/>
  <c r="G40" i="2" s="1"/>
  <c r="F87" i="2"/>
  <c r="H85" i="2"/>
  <c r="C75" i="3" l="1"/>
  <c r="C77" i="3" s="1"/>
  <c r="C69" i="3"/>
  <c r="L42" i="2"/>
  <c r="K43" i="2"/>
  <c r="M43" i="2" s="1"/>
  <c r="N43" i="2" s="1"/>
  <c r="J43" i="2"/>
  <c r="O42" i="2"/>
  <c r="P42" i="2" s="1"/>
  <c r="Q42" i="2" s="1"/>
  <c r="H40" i="2"/>
  <c r="H86" i="2"/>
  <c r="F41" i="2"/>
  <c r="F88" i="2"/>
  <c r="G87" i="2"/>
  <c r="G41" i="2" s="1"/>
  <c r="C74" i="3"/>
  <c r="C76" i="3" s="1"/>
  <c r="C70" i="3"/>
  <c r="C79" i="3" l="1"/>
  <c r="C80" i="3" s="1"/>
  <c r="C81" i="3" s="1"/>
  <c r="L43" i="2"/>
  <c r="O43" i="2"/>
  <c r="P43" i="2" s="1"/>
  <c r="Q43" i="2" s="1"/>
  <c r="K44" i="2"/>
  <c r="M44" i="2" s="1"/>
  <c r="N44" i="2" s="1"/>
  <c r="J44" i="2"/>
  <c r="C71" i="3"/>
  <c r="C83" i="3" s="1"/>
  <c r="C84" i="3" s="1"/>
  <c r="C52" i="1" s="1"/>
  <c r="C53" i="1" s="1"/>
  <c r="C55" i="1" s="1"/>
  <c r="G88" i="2"/>
  <c r="G42" i="2" s="1"/>
  <c r="F89" i="2"/>
  <c r="F42" i="2"/>
  <c r="H42" i="2" s="1"/>
  <c r="H41" i="2"/>
  <c r="H87" i="2"/>
  <c r="F90" i="2" l="1"/>
  <c r="G89" i="2"/>
  <c r="G43" i="2" s="1"/>
  <c r="F43" i="2"/>
  <c r="K45" i="2"/>
  <c r="M45" i="2" s="1"/>
  <c r="N45" i="2" s="1"/>
  <c r="J45" i="2"/>
  <c r="L44" i="2"/>
  <c r="H88" i="2"/>
  <c r="H89" i="2" l="1"/>
  <c r="L45" i="2"/>
  <c r="H43" i="2"/>
  <c r="K46" i="2"/>
  <c r="M46" i="2" s="1"/>
  <c r="N46" i="2" s="1"/>
  <c r="J46" i="2"/>
  <c r="O45" i="2"/>
  <c r="P45" i="2" s="1"/>
  <c r="Q45" i="2" s="1"/>
  <c r="O44" i="2"/>
  <c r="P44" i="2" s="1"/>
  <c r="Q44" i="2" s="1"/>
  <c r="L46" i="2"/>
  <c r="F91" i="2"/>
  <c r="G90" i="2"/>
  <c r="G44" i="2" s="1"/>
  <c r="F44" i="2"/>
  <c r="H90" i="2" l="1"/>
  <c r="F92" i="2"/>
  <c r="G91" i="2"/>
  <c r="G45" i="2" s="1"/>
  <c r="F45" i="2"/>
  <c r="O46" i="2"/>
  <c r="P46" i="2" s="1"/>
  <c r="Q46" i="2" s="1"/>
  <c r="H44" i="2"/>
  <c r="H45" i="2" l="1"/>
  <c r="G92" i="2"/>
  <c r="G46" i="2" s="1"/>
  <c r="F46" i="2"/>
  <c r="H91" i="2"/>
  <c r="H92" i="2" l="1"/>
  <c r="H46" i="2"/>
</calcChain>
</file>

<file path=xl/sharedStrings.xml><?xml version="1.0" encoding="utf-8"?>
<sst xmlns="http://schemas.openxmlformats.org/spreadsheetml/2006/main" count="261" uniqueCount="223">
  <si>
    <t>Vergleich: Altersvorsorgedepot (AVD) vs. klassisches ETF-Depot · BT-Drucks. 21/4996 vom 25.03.2026</t>
  </si>
  <si>
    <t>1.  Gemeinsame Parameter</t>
  </si>
  <si>
    <t>3.  ETF-Depot Parameter</t>
  </si>
  <si>
    <t>Effektivkosten ETF p.a.</t>
  </si>
  <si>
    <t>Laufzeit Einzahlungsphase (Jahre, max. 40)</t>
  </si>
  <si>
    <t>Angenommene Bruttorendite p.a.</t>
  </si>
  <si>
    <t>Abgeltungssteuer</t>
  </si>
  <si>
    <t>Solidaritätszuschlag</t>
  </si>
  <si>
    <t>Steuersatz gesamt (AbgSt × (1+SolZ))</t>
  </si>
  <si>
    <t>Rendite ETF netto (nach Kosten)</t>
  </si>
  <si>
    <t>2.  Altersvorsorgedepot (AVD)</t>
  </si>
  <si>
    <t>Förderberechtigung (Auswahl↓)</t>
  </si>
  <si>
    <t>JA - unmittelbar</t>
  </si>
  <si>
    <t>Effektivkosten AVD p.a.</t>
  </si>
  <si>
    <t>Rendite AVD netto (nach Kosten)</t>
  </si>
  <si>
    <t>Kind</t>
  </si>
  <si>
    <t>Anzahl Jahre Kinderzulage (ab Beginn der Einzahlungsphase)</t>
  </si>
  <si>
    <t>Kind 1</t>
  </si>
  <si>
    <t>Kind 2</t>
  </si>
  <si>
    <t>Kind 3</t>
  </si>
  <si>
    <t>Kind 4</t>
  </si>
  <si>
    <t>Kind 5</t>
  </si>
  <si>
    <t>Maßgeblicher Jahresbeitrag für Zulagen (€)</t>
  </si>
  <si>
    <t>Grundzulage p.a.</t>
  </si>
  <si>
    <t>Kinderzulage p.a. (Ø über Laufzeit, exakt im Jahresverlauf)</t>
  </si>
  <si>
    <t>Gesamtzulage p.a. (Ø)</t>
  </si>
  <si>
    <t>Steuerermäßigung (SA × Grenzsteuersatz Einzahlungsphase)</t>
  </si>
  <si>
    <t>Günstigerprüfung: Ergebnis</t>
  </si>
  <si>
    <t>Zusätzliche Steuererstattung p.a. (über Zulage hinaus)</t>
  </si>
  <si>
    <t>Effektive Gesamtförderung p.a.</t>
  </si>
  <si>
    <t>Kumulierter Eigenbeitrag</t>
  </si>
  <si>
    <t>—</t>
  </si>
  <si>
    <t>Depotendwert BRUTTO</t>
  </si>
  <si>
    <t>Jahresverlauf – AVD vs. ETF-Depot (max. 40 Jahre)</t>
  </si>
  <si>
    <t>#</t>
  </si>
  <si>
    <t>Jahr</t>
  </si>
  <si>
    <t>AVD Depot
brutto (€)</t>
  </si>
  <si>
    <t>AVD NETTO (€)</t>
  </si>
  <si>
    <t>ETF Depot
brutto (€)</t>
  </si>
  <si>
    <t>Vorabpauschale
kumuliert (€)</t>
  </si>
  <si>
    <t>ETF NETTO
(nach Schlusssteuer) (€)</t>
  </si>
  <si>
    <t>Auszahlungsphase – Drei Szenarien</t>
  </si>
  <si>
    <t>Basis: Depotendwert aus 'Jahresverlauf' am Ende der Einzahlungsphase | Steuer nach 'Grenzsteuersatz bei Auszahlung' (Rechner!C10)</t>
  </si>
  <si>
    <t>Szenario A: Schädliche Verwendung → siehe Blatt 'Kündigung'</t>
  </si>
  <si>
    <t>Die schädliche Verwendung (vorzeitige Kündigung) ist vollständig auf dem Blatt 'Kündigung' berechnet. Bitte dort die Kündigungsparameter eingeben.</t>
  </si>
  <si>
    <t>Szenario B: Regelmäßige Auszahlungsphase (unschädliche Verwendung, § 22 Nr. 5 EStG)</t>
  </si>
  <si>
    <t>Dauer der Auszahlungsphase (Jahre)</t>
  </si>
  <si>
    <t>Depotendwert (brutto, aus Jahresverlauf)</t>
  </si>
  <si>
    <t>Grenzsteuersatz bei Auszahlung (aus Rechner)</t>
  </si>
  <si>
    <t>Bruttoauszahlung pro Jahr (gleichmäßig)</t>
  </si>
  <si>
    <t>Steuer pro Jahr (§ 22 Nr. 5 EStG, Grenzsteuersatz Auszahlung)</t>
  </si>
  <si>
    <t>Nettoauszahlung pro Jahr</t>
  </si>
  <si>
    <t>Gesamte Nettoauszahlung über alle Jahre</t>
  </si>
  <si>
    <t>Gesamte Steuerbelastung über alle Jahre</t>
  </si>
  <si>
    <t>Effektive Nettoquote (Netto/Brutto gesamt)</t>
  </si>
  <si>
    <t>Kumulierter Eigenbeitrag (Einzahlungsphase)</t>
  </si>
  <si>
    <t>Mehrwert Nettorente vs. Eigenbeiträge</t>
  </si>
  <si>
    <t>Szenario C: Teilkapitalentnahme (bis 30 %) + verbleibende Jahresrente</t>
  </si>
  <si>
    <t>Teilkapitalentnahme zu Beginn (%)</t>
  </si>
  <si>
    <t>Dauer der Auszahlungsphase nach Entnahme (Jahre)</t>
  </si>
  <si>
    <t>Nettobetrag Einmalentnahme</t>
  </si>
  <si>
    <t>Verbleibendes Kapital nach Entnahme (brutto)</t>
  </si>
  <si>
    <t>Bruttoauszahlung pro Jahr (Restkapital / Laufzeit)</t>
  </si>
  <si>
    <t>Steuer pro Jahr</t>
  </si>
  <si>
    <t>Gesamte Nettojahresrenten</t>
  </si>
  <si>
    <t>GESAMTNETTO Szenario C (Einmalentnahme + Jahresrenten)</t>
  </si>
  <si>
    <t>Gesamte Steuerbelastung Szenario C</t>
  </si>
  <si>
    <t>Rechtsfolgen bei vorzeitiger Kündigung: Rückzahlung Zulagen + SA-Steuerermäßigungen + Besteuerung Ertragsanteil</t>
  </si>
  <si>
    <t>Eingaben</t>
  </si>
  <si>
    <t>Ausgangswerte zum Kündigungszeitpunkt</t>
  </si>
  <si>
    <t>Depotstand brutto zum Kündigungszeitpunkt</t>
  </si>
  <si>
    <t>Kumulierter Eigenbeitrag bis Kündigung</t>
  </si>
  <si>
    <t>Kumulierte Zulagen bis Kündigung (Ø)</t>
  </si>
  <si>
    <t>Laufzeit ≥ 12 Jahre? (Halbeinkünfte-Begünstigung)</t>
  </si>
  <si>
    <t>Jährliche SA-Steuerermäßigung (Mehrförderung über Zulage)</t>
  </si>
  <si>
    <t>Rechtsfolgen (§ 93 Abs. 1 EStG-E)</t>
  </si>
  <si>
    <t>Schritt 1a: Rückzahlung Zulagen an ZfA (unverzinst)</t>
  </si>
  <si>
    <t>§ 93 Abs. 1 Satz 1 EStG-E – unverzinste Rückzahlung</t>
  </si>
  <si>
    <t>Schritt 1b: Rückzahlung SA-Steuerermäßigungen</t>
  </si>
  <si>
    <t>§ 93 Abs. 1 Satz 1 EStG-E – gesondert festgestellte Steuerermäßigungen</t>
  </si>
  <si>
    <t>Gesamte Rückzahlungspflicht (Zulagen + SA-Ermäßigungen)</t>
  </si>
  <si>
    <t>Summe Schritt 1a + 1b</t>
  </si>
  <si>
    <t>Schritt 2: Verbleibendes Kapital nach Rückzahlung</t>
  </si>
  <si>
    <t>Schritt 3: Eigenbeiträge (steuerfrei, aus versteuertem Einkommen)</t>
  </si>
  <si>
    <t>Eigenbeiträge aus versteuertem Einkommen → keine erneute Besteuerung</t>
  </si>
  <si>
    <t>Steuerpflichtiger Ertragsanteil</t>
  </si>
  <si>
    <t>§ 22 Nr. 5 Satz 3 i.V.m. Satz 2 EStG i.V.m. § 20 Abs. 1 Nr. 6 EStG</t>
  </si>
  <si>
    <t>Anwendung Halbeinkünfte-Begünstigung?</t>
  </si>
  <si>
    <t>§ 20 Abs. 1 Nr. 6 Satz 2 EStG: nur bei ≥ 12 Jahren + nach 62. Lj.</t>
  </si>
  <si>
    <t>Steuerpflichtiger Betrag (nach ggf. Halbeinkünften)</t>
  </si>
  <si>
    <t>Individueller Grenzsteuersatz des Steuerpflichtigen</t>
  </si>
  <si>
    <t>Auszahlung an Sparer (netto, nach allen Abzügen)</t>
  </si>
  <si>
    <t>Verbleibt beim Steuerpflichtigen</t>
  </si>
  <si>
    <t>Nettowertentwicklung: Altersvorsorgedepot vs. ETF-Depot</t>
  </si>
  <si>
    <t>Nettowert nach Steuern in € | Parameter aus Blatt 'Rechner' | Alle 40 Jahre modelliert</t>
  </si>
  <si>
    <t>Modellannahmen, Erläuterungen &amp; Rechtsgrundlagen</t>
  </si>
  <si>
    <t>RECHTSGRUNDLAGE</t>
  </si>
  <si>
    <t>AltersVRG · Beschlussempfehlung des Finanzausschusses, BT-Drucks. 21/4996 vom 25.03.2026</t>
  </si>
  <si>
    <t>ZULAGENFÖRDERUNG (§§ 84, 85, 86 EStG-E)</t>
  </si>
  <si>
    <t>Grundzulage: 50 % auf erste 360 € + 25 % auf 360,01–1.800 € = max. 540 € p.a.</t>
  </si>
  <si>
    <t>Kinderzulage: 100 % der maßgeblichen Eigenbeiträge, gekappt auf 300 € je Kind p.a.</t>
  </si>
  <si>
    <t>Kinderzulage: im Jahresverlauf JAHRESGENAU – je Kind wird die Laufzeit aus Blatt 'Rechner' berücksichtigt</t>
  </si>
  <si>
    <t>Mittelbare Förderberechtigung: Grundzulage max. 175 € (berechnet nach Eigenbeiträgen des Ehegatten)</t>
  </si>
  <si>
    <t>Mindesteigenbeitrag: 120 € p.a. als Voraussetzung für alle Zulagen (§ 86 EStG-E)</t>
  </si>
  <si>
    <t>BESTEUERUNG AVD (§ 22 Nr. 5 EStG)</t>
  </si>
  <si>
    <t>Auszahlungsphase (unschädlich): nachgelagert mit Grenzsteuersatz bei Auszahlung auf (Depot - Eigenbeiträge)</t>
  </si>
  <si>
    <t>Schädliche Verwendung: Zulagenrückzahlung + Rückzahlung SA-Steuerermäßigungen + Besteuerung Ertragsanteil</t>
  </si>
  <si>
    <t>Halbeinkünfte-Begünstigung: nur bei ≥ 12 Jahren Laufzeit und Auszahlung nach 62. Lebensjahr</t>
  </si>
  <si>
    <t>ETF-DEPOT BESTEUERUNG</t>
  </si>
  <si>
    <t>Vorabpauschale: Vorjahresbestand × Basiszins × (1-Teilfreistellung) → Steuer = VP × AbgSt × (1+SolZ)</t>
  </si>
  <si>
    <t>Teilfreistellung Aktienfonds 30 %: nur 70 % der Erträge steuerpflichtig (§ 20 InvStG)</t>
  </si>
  <si>
    <t>Schlusssteuer: (Bruttowert - Eigenbeiträge) × (1-Teilfr.) - VP_kum.) × AbgSt × (1+SolZ)</t>
  </si>
  <si>
    <t>Sparerpauschbetrag: mindert die Vorabpauschale (vereinfacht berücksichtigt)</t>
  </si>
  <si>
    <t>ZWEI STEUERSÄTZE</t>
  </si>
  <si>
    <t>Grenzsteuersatz Einzahlungsphase: für Günstigerprüfung SA-Abzug und Ertragsanteil bei Kündigung</t>
  </si>
  <si>
    <t>Grenzsteuersatz bei Auszahlung: für nachgelagerte Besteuerung im Rentenbezug (typisch niedriger)</t>
  </si>
  <si>
    <t>GRENZEN DES MODELLS</t>
  </si>
  <si>
    <t>Konstante Jahresbeiträge und konstante Rendite – reale Ergebnisse können abweichen</t>
  </si>
  <si>
    <t>Max. 40 Jahre Laufzeit modelliert | Beiträge vereinfachend zu Jahresbeginn als Einmalbetrag</t>
  </si>
  <si>
    <t>Keine Inflation | Kein Steuersatzwechsel in der Einzahlungsphase (außer: gesondert für Auszahlung)</t>
  </si>
  <si>
    <t>Dieses Modell dient der Veranschaulichung. Kein Ersatz für individuelle steuerliche Beratung.</t>
  </si>
  <si>
    <t>© Neufang Akademie | Leibnizstraße 5, 75365 Calw | www.neufang-akademie.de</t>
  </si>
  <si>
    <t>Gesamtzulagen (Ø aus Feld C31 x Laufzeit)</t>
  </si>
  <si>
    <t>Steuer aus
Vorabpauschale 
kumuliert (€)</t>
  </si>
  <si>
    <t>Entnahmebetrag Einmalauszahlung brutto</t>
  </si>
  <si>
    <t>JA</t>
  </si>
  <si>
    <t>Hinweis: Aus Vereinfachung wird die Kinderzlage über die Laufzeit im Durchschnitt verteilt. Je nach Einzeljahr können sich unterschiedliche Berechnungen ergeben. Hier erfolgt eine pauschale Vereinfachung.</t>
  </si>
  <si>
    <t>Alter für Halbeinkünfteverfahren erreicht (62. Lebensjahr)? JA/NEIN</t>
  </si>
  <si>
    <t>Steuerpflichtiger Veräußerungsgewinn
(ohne Sparerpauschbetrag)</t>
  </si>
  <si>
    <t>Jahr der Kündigung (max. 40; Standard = Laufzeit des AVD)</t>
  </si>
  <si>
    <t>Depot-Endwert NETTO schädliche Auszahlung (vgl. Blatt "Kündigung")</t>
  </si>
  <si>
    <t>4.  Ergebnisübersicht (nach Steuern) – Details siehe Blätter 'Jahresverlauf', 'Kündigung' &amp; 'Auszahlung'</t>
  </si>
  <si>
    <t>ℹ️  Blaue/dunkle Zellen = Eingaben  |  → 'Jahresverlauf' für Jahr-für-Jahr-Tabelle  |  → 'Auszahlung' für Rentenphase  |  → 'Kündigung' für schädliche Verwendung</t>
  </si>
  <si>
    <t>Gesetzliche Grenze: Teilkapitalentnahme zu Beginn der Auszahlungsphase max. 30 % (§ 1 Abs. 1 Satz 1 Nr. 4 AltZertG). Darüber hinaus → schädliche Verwendung.</t>
  </si>
  <si>
    <t>⚠️  Ausnahmen von der Rückzahlungspflicht (keine schädliche Verwendung): ① Kleinbetragsrente (≤ 1,5 % Bezugsgröße § 18 SGB IV)  ② Übertragung im Todesfall auf Ehegatten-Depot  ③ Teilkapitalentnahme max. 30 % zu Beginn Auszahlungsphase  ④ Anbieterwechsel auf anderen zertifizierten Vertrag</t>
  </si>
  <si>
    <t>Ansparphase: Erträge vollständig steuerfrei, keine Vorabpauschale (§ 18 InvStG nicht anwendbar)</t>
  </si>
  <si>
    <t>Es wird keine Garantie für die Richtigkeit der Angaben übernommen.</t>
  </si>
  <si>
    <t>Neufang Akademie  |  Altersvorsorgedepot-Vergleichs-Rechner</t>
  </si>
  <si>
    <t>Kinder: Laufzeit der Kinderzulage je Kind (maximal 5 Kinder)</t>
  </si>
  <si>
    <t>Diese Excel-Tabelle wurde unter Einsatz von KI (Claude von Antrophic) erstellt und anschließend menschlich angepasst und verplausibilisiert.</t>
  </si>
  <si>
    <t>Sparerpauschbetrag p.a. (ETF für Vorabpauschale)</t>
  </si>
  <si>
    <t>Eigenbeiträge Ehegatte p.m. (nur bei mittelbar, sonst 0); Eintrag max. 150 €!</t>
  </si>
  <si>
    <t>Sonderausgabenabzug &amp; Günstigerprüfung (§ 10a EStG)</t>
  </si>
  <si>
    <t>Kinderzulage im aktuellen Jahr</t>
  </si>
  <si>
    <t>Grundzulage im aktuellen Jahr</t>
  </si>
  <si>
    <t>Hinweis: Die Kinderzulage wird aus Vereinfachung für X Jahre zu Beginn des Depotsaufbaus berücksichtigt. Siehe Blatt 'Jahresverlauf'. Dies begünstigt die Aufbauphase des Depots.</t>
  </si>
  <si>
    <r>
      <rPr>
        <b/>
        <u/>
        <sz val="9"/>
        <color rgb="FF2F2F2F"/>
        <rFont val="Arial"/>
        <family val="2"/>
      </rPr>
      <t>Nachrichtlich:</t>
    </r>
    <r>
      <rPr>
        <b/>
        <sz val="9"/>
        <color rgb="FF2F2F2F"/>
        <rFont val="Arial"/>
        <family val="2"/>
      </rPr>
      <t xml:space="preserve"> Zusätzliche Steuerersparnis aus Sonderausgaben </t>
    </r>
    <r>
      <rPr>
        <sz val="9"/>
        <color rgb="FF2F2F2F"/>
        <rFont val="Arial"/>
        <family val="2"/>
      </rPr>
      <t>|| Steuer aus Vorabpauschalen</t>
    </r>
  </si>
  <si>
    <t>Steuerbelastung (Grenzsteuersatz)</t>
  </si>
  <si>
    <t>Vorabpauschale
dieses Jahr (€)
bereits inkl. Teilfreistellung</t>
  </si>
  <si>
    <t>Steuer aus
Vorabpauschale 
dieses Jahr (€); Spalte K x Rechner!C11</t>
  </si>
  <si>
    <t>SA-Abzug p.a. (max. 1.800 € + Zulage)</t>
  </si>
  <si>
    <t>⚠️ Vereinfachung: Das verbleibende Depotkapital wird als unverzinst angenommen. In der Realität kännen die noch nicht ausgezahlten Anteile weiter Erträge erwirtschaften, was zu einer höheren Netto-Auszahlung führen würde. Das tatsächliche Ergebnis ist daher günstiger als hier ausgewiesen.</t>
  </si>
  <si>
    <t>Jahr des Sparbeginns</t>
  </si>
  <si>
    <t>Summe monatliche Einzahlungen</t>
  </si>
  <si>
    <t>Summe jährliche Einzahlung</t>
  </si>
  <si>
    <t>Teilfreistellungsquote Aktienfonds</t>
  </si>
  <si>
    <t>davon 70 % für Vorabpauschale</t>
  </si>
  <si>
    <t>Vorabpauschale-Zins
(für die Vorabpauschale 2025 bspw. 3,2 %)</t>
  </si>
  <si>
    <t>Ungeförderte 
Eigenbeiträge
kum. (€);
siehe Rechner!C7</t>
  </si>
  <si>
    <t>Geförderte 
Eigenbeiträge
kum. (€);
siehe !echner!C6</t>
  </si>
  <si>
    <t>Gesamte
Eigenbeiträge
kum. (€);
siehe Rechner!C8</t>
  </si>
  <si>
    <t>AVD Depot
ungeförderter Anteil
brutto (€)</t>
  </si>
  <si>
    <t>AVD Depot
geförderter Anteil
brutto (€)</t>
  </si>
  <si>
    <t>AVD NETTO (€)
geföderter Anteil</t>
  </si>
  <si>
    <t>AVD NETTO (€)
ungeföderter Anteil</t>
  </si>
  <si>
    <t>Maßgebend für weitere Berechnungen sind</t>
  </si>
  <si>
    <t>Alter bei Beginn der Rentenauszahlungsphase</t>
  </si>
  <si>
    <t>Hinweis zum Ertragsanteil</t>
  </si>
  <si>
    <t>Die Höhe des maßgebenden Ertragsanteils hängt ab vom Alter des Rentenbeginns. Er ergibt sich aus § 22 Nr. 1 Buchstabe a Doppelbuchstabe bb Satz 3 EStG.</t>
  </si>
  <si>
    <t>Bei Neginn der Rente vollendetes Lebensjahr</t>
  </si>
  <si>
    <t>Ertragsanteil</t>
  </si>
  <si>
    <t>Alter bei Rentenbeginn (aus Rechner)</t>
  </si>
  <si>
    <t>Maßgebender Prozentsatz bei Ertragsanteilbesteuerung (vgl. unten Tabelle Hinweis zum Ertragsanteil)</t>
  </si>
  <si>
    <t>Auszahlung des geförderten Anteils</t>
  </si>
  <si>
    <t>Maßgebender Anteil am Depot</t>
  </si>
  <si>
    <t>Steuer pro Jahr (§ 22 Nr. 1 a bb EStG)</t>
  </si>
  <si>
    <t>Auszahlung des ungeförderten Anteils (bei lebenslanger Auszahlung)</t>
  </si>
  <si>
    <t>davon Eigenbeiträge</t>
  </si>
  <si>
    <t>Kapitalertrag</t>
  </si>
  <si>
    <t>Halbeinkünfte anwendbar? (siehe Blatt Kündigung)</t>
  </si>
  <si>
    <t>zu besteuernder Kapitalertrag</t>
  </si>
  <si>
    <t>Auszahlung des ungeförderten Anteils 
(bei nicht lebenslanger Auszahlung)</t>
  </si>
  <si>
    <t>⚠️ Annahme: Hier wurde aus Vereinfachung angenommen, dass die Kapitalentnahme gem. den Grundsätzen des BMF-Schreibens v. 11.2.2022 Rz. 234 primär aus den ungefärderten Anteilen stammt, um so die Steuerbelastung zu Beginn zu minimieren. Dem Steuerpflichtigen steht allerdings frei, die Wahl anders zu treffen.</t>
  </si>
  <si>
    <t>Damit wird entnommen</t>
  </si>
  <si>
    <t>Depotwert nach Entnahme</t>
  </si>
  <si>
    <t>Depotwert vor Entnahme</t>
  </si>
  <si>
    <t xml:space="preserve">  davon aus gefördertem Eigenbeitrag</t>
  </si>
  <si>
    <t xml:space="preserve">  davon aus ungefördertem Eigenbeitrag</t>
  </si>
  <si>
    <t>Steuer pro Jahr 
(§ 22 Nr. 5 i.V.m. § 20 Abs. 1 Nr. 6 EStG)</t>
  </si>
  <si>
    <t>Steuer aus Entnahme der ungeförderten Eigenbeiträge
(§ 22 Nr. 5 i.V.m. § 20 Abs. 1 Nr. 6 EStG)</t>
  </si>
  <si>
    <t>Steuer aus Entnahme der geförderten Eigenbeiträge 
(§ 22 Nr. 5 EStG)</t>
  </si>
  <si>
    <t>Steuersatz pro Jahr</t>
  </si>
  <si>
    <t>Steuer auf Auszahulungen aus gefördertem Eigenbeitrag</t>
  </si>
  <si>
    <t>Steuer auf Auszahulungen aus ungefördertem Eigenbeitrag</t>
  </si>
  <si>
    <t xml:space="preserve">  davon geförderte Eigenbeiträge</t>
  </si>
  <si>
    <t xml:space="preserve">  davon ungeförderte Eigenbeiträge</t>
  </si>
  <si>
    <t>Schädliche Verwendung / Vorzeitige Kündigung (§ 93 EStG)</t>
  </si>
  <si>
    <t>Grenzsteuersatz bei Auszahlungsphase</t>
  </si>
  <si>
    <t>Grenzsteuersatz während Einzahlungsphase
und für schädliche Verwendung</t>
  </si>
  <si>
    <t>Grenzsteuersatz für die Auszahlung
(Wert stammt aus Rechner, ggf. überschreibbar)</t>
  </si>
  <si>
    <t xml:space="preserve">GESAMTNETTO Szenario B </t>
  </si>
  <si>
    <t>Gesamte Steuerbelastung Szenario B</t>
  </si>
  <si>
    <t>überschlägige Steuer bei
Auszahlung (€); ermäßigter Grenzsteuersatz (Zelle C10 in Blatt Rechner)
Gilt nur bei Einzahlungen bis max. 1.800 € p. a.!
Genaue Berechnung siehe Blatt Auszahlung</t>
  </si>
  <si>
    <t>Steuer bei
Auszahlung (€); ermäßigter Grenzsteuersatz (Zelle C13 in Blatt Rechner)
Gilt nur bei Einzahlungen bis max. 1.800 € p. a.!
Genaue Berechnung siehe Blatt Auszahlung</t>
  </si>
  <si>
    <t>Steuer bei
Auszahlung (€); ermäßigter Grenzsteuersatz (Zelle C13 in Blatt Rechner)
Gilt nur bei Einzahlungen über 1.800 € p. a.!
Genaue Berechnung siehe Blatt Auszahlung</t>
  </si>
  <si>
    <t>Steuerbelastung bei Auszahlungsplan
(vgl. Blatt "Auszahlung")</t>
  </si>
  <si>
    <t>Steuer aus Gewinn aus Spalte O</t>
  </si>
  <si>
    <t>Fall 1: Reguläre Auszahlung des AVD
(Details siehe Blatt "Auszahlung")</t>
  </si>
  <si>
    <t>Vergleichsfall 3: ETF-Depot</t>
  </si>
  <si>
    <t>NETTO Auszahlungen im Verlauf der Auszahlungsphase (Depotstand abzgl. Steuer aus vorstehendem Feld)</t>
  </si>
  <si>
    <t>Fall 2: Schädliche Verwendung des AVD
(Details siehe Blatt "Kündigung")</t>
  </si>
  <si>
    <r>
      <t xml:space="preserve">⚠️ </t>
    </r>
    <r>
      <rPr>
        <b/>
        <u/>
        <sz val="8"/>
        <color rgb="FFC00000"/>
        <rFont val="Arial"/>
        <family val="2"/>
      </rPr>
      <t>Eingaben</t>
    </r>
    <r>
      <rPr>
        <b/>
        <sz val="8"/>
        <color rgb="FFC00000"/>
        <rFont val="Arial"/>
        <family val="2"/>
      </rPr>
      <t xml:space="preserve"> (blaue Felder) || </t>
    </r>
    <r>
      <rPr>
        <b/>
        <u/>
        <sz val="8"/>
        <color rgb="FFC00000"/>
        <rFont val="Arial"/>
        <family val="2"/>
      </rPr>
      <t>Passwort</t>
    </r>
    <r>
      <rPr>
        <b/>
        <sz val="8"/>
        <color rgb="FFC00000"/>
        <rFont val="Arial"/>
        <family val="2"/>
      </rPr>
      <t xml:space="preserve"> zum Aufheben des Tabellschutzes: Neufang || Tabelle unterschtützt nur Einzahlungen bis max. 6.840 € p. a.</t>
    </r>
  </si>
  <si>
    <r>
      <t xml:space="preserve">Zulagenberechnung (Kinderzulagen </t>
    </r>
    <r>
      <rPr>
        <b/>
        <u/>
        <sz val="9"/>
        <color rgb="FF8B3A00"/>
        <rFont val="Arial"/>
        <family val="2"/>
      </rPr>
      <t>voll</t>
    </r>
    <r>
      <rPr>
        <b/>
        <sz val="9"/>
        <color rgb="FF8B3A00"/>
        <rFont val="Arial"/>
        <family val="2"/>
      </rPr>
      <t xml:space="preserve"> im Jahr, nicht Durchschnitt)</t>
    </r>
  </si>
  <si>
    <r>
      <t>Zulagenberechnung (basierend auf Laufzeit-</t>
    </r>
    <r>
      <rPr>
        <b/>
        <u/>
        <sz val="9"/>
        <color rgb="FF8B3A00"/>
        <rFont val="Arial"/>
        <family val="2"/>
      </rPr>
      <t>Durchschnitt</t>
    </r>
    <r>
      <rPr>
        <b/>
        <sz val="9"/>
        <color rgb="FF8B3A00"/>
        <rFont val="Arial"/>
        <family val="2"/>
      </rPr>
      <t>)</t>
    </r>
  </si>
  <si>
    <t>Mehrwert AVD begünstigt + Steuerersparnis Sonderausgaben vs. ETF (netto) abzgl. Steuer Vorabpauschalen</t>
  </si>
  <si>
    <t>Mehrwert AVD unbegünstigt vs. ETF (netto) abzgl. Steuer aus Vorabpauschalen</t>
  </si>
  <si>
    <t>Verlauf des Altersvorsorgedepots</t>
  </si>
  <si>
    <t>Verlauf des regulären ETF-Depots</t>
  </si>
  <si>
    <t>Anteil des Altersvorsorgedepots, der aus den geförderten Eigenbeiträgen stammt</t>
  </si>
  <si>
    <t>Anteil des Altersvorsorgedepots, der aus den ungeförderten Eigenbeiträgen stammt</t>
  </si>
  <si>
    <r>
      <t xml:space="preserve">AVD: steuerfreies Wachstum, Kinderzulage jahresgenau | ETF: Vorabpauschale jährlich, Abgeltungssteuer bei Verkauf | 
</t>
    </r>
    <r>
      <rPr>
        <b/>
        <u/>
        <sz val="8"/>
        <color rgb="FF595959"/>
        <rFont val="Arial"/>
        <family val="2"/>
      </rPr>
      <t>⚠️ Vereinfachung</t>
    </r>
    <r>
      <rPr>
        <sz val="8"/>
        <color rgb="FF595959"/>
        <rFont val="Arial"/>
        <family val="2"/>
      </rPr>
      <t xml:space="preserve">: Zins auf gesamten Bestand zum 31.12. des Jahres, Depotbestand (bei AVD und ETF) </t>
    </r>
    <r>
      <rPr>
        <b/>
        <sz val="8"/>
        <color rgb="FF595959"/>
        <rFont val="Arial"/>
        <family val="2"/>
      </rPr>
      <t>daher etwas zu höher als bei monatlicher Berechnung</t>
    </r>
    <r>
      <rPr>
        <sz val="8"/>
        <color rgb="FF595959"/>
        <rFont val="Arial"/>
        <family val="2"/>
      </rPr>
      <t xml:space="preserve"> |Daten aus Blatt 'Rechner'</t>
    </r>
  </si>
  <si>
    <t>Geförderter Eigenbeitrag (€); max. 150 € p. m.</t>
  </si>
  <si>
    <t>Ungeförderter Eigenbeitrag (€); max. 420 € p.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</si>
</sst>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&quot; €&quot;;\(#,##0.00&quot; €)&quot;;\-"/>
    <numFmt numFmtId="165" formatCode="0.00%;\-0.00%;\-"/>
    <numFmt numFmtId="166" formatCode="0.0%;\-0.0%;\-"/>
    <numFmt numFmtId="167" formatCode="#,##0&quot; €&quot;;\(#,##0&quot; €)&quot;;\-"/>
    <numFmt numFmtId="168" formatCode="#,##0.00&quot; €&quot;;\-\ #,##0.00&quot; €&quot;;\-"/>
    <numFmt numFmtId="169" formatCode="_-* #,##0_-;\-* #,##0_-;_-* &quot;-&quot;??_-;_-@_-"/>
    <numFmt numFmtId="170" formatCode="0%;\-0%;\-"/>
    <numFmt numFmtId="171" formatCode="\(0%\)"/>
  </numFmts>
  <fonts count="38" x14ac:knownFonts="1">
    <font>
      <sz val="11"/>
      <color theme="1"/>
      <name val="Calibri"/>
      <family val="2"/>
      <charset val="1"/>
    </font>
    <font>
      <b/>
      <sz val="14"/>
      <color rgb="FFFFFFFF"/>
      <name val="Arial"/>
      <family val="2"/>
    </font>
    <font>
      <sz val="8"/>
      <color rgb="FFFDF0E6"/>
      <name val="Arial"/>
      <family val="2"/>
    </font>
    <font>
      <sz val="8"/>
      <color rgb="FF595959"/>
      <name val="Arial"/>
      <family val="2"/>
    </font>
    <font>
      <b/>
      <sz val="10"/>
      <color rgb="FFFFFFFF"/>
      <name val="Arial"/>
      <family val="2"/>
    </font>
    <font>
      <sz val="9"/>
      <color rgb="FF2F2F2F"/>
      <name val="Arial"/>
      <family val="2"/>
    </font>
    <font>
      <b/>
      <sz val="9"/>
      <color rgb="FFFFFFFF"/>
      <name val="Arial"/>
      <family val="2"/>
    </font>
    <font>
      <b/>
      <sz val="8"/>
      <color rgb="FF2F2F2F"/>
      <name val="Arial"/>
      <family val="2"/>
    </font>
    <font>
      <b/>
      <sz val="9"/>
      <color rgb="FF8B3A00"/>
      <name val="Arial"/>
      <family val="2"/>
    </font>
    <font>
      <sz val="8"/>
      <color rgb="FFC85000"/>
      <name val="Arial"/>
      <family val="2"/>
    </font>
    <font>
      <sz val="8"/>
      <color rgb="FF2F2F2F"/>
      <name val="Arial"/>
      <family val="2"/>
    </font>
    <font>
      <b/>
      <sz val="9"/>
      <color rgb="FF2F2F2F"/>
      <name val="Arial"/>
      <family val="2"/>
    </font>
    <font>
      <b/>
      <sz val="12"/>
      <color rgb="FFFFFFFF"/>
      <name val="Arial"/>
      <family val="2"/>
    </font>
    <font>
      <b/>
      <sz val="8"/>
      <color rgb="FFFFFFFF"/>
      <name val="Arial"/>
      <family val="2"/>
    </font>
    <font>
      <sz val="8"/>
      <color rgb="FF808080"/>
      <name val="Arial"/>
      <family val="2"/>
    </font>
    <font>
      <b/>
      <sz val="13"/>
      <color rgb="FFFFFFFF"/>
      <name val="Arial"/>
      <family val="2"/>
    </font>
    <font>
      <sz val="8"/>
      <color rgb="FF8B3A00"/>
      <name val="Arial"/>
      <family val="2"/>
    </font>
    <font>
      <sz val="9"/>
      <color rgb="FFFFFFFF"/>
      <name val="Arial"/>
      <family val="2"/>
    </font>
    <font>
      <sz val="9"/>
      <color theme="1"/>
      <name val="Arial"/>
      <family val="2"/>
    </font>
    <font>
      <b/>
      <sz val="8"/>
      <color rgb="FFC00000"/>
      <name val="Arial"/>
      <family val="2"/>
    </font>
    <font>
      <b/>
      <u/>
      <sz val="8"/>
      <color rgb="FFC00000"/>
      <name val="Arial"/>
      <family val="2"/>
    </font>
    <font>
      <sz val="9"/>
      <color rgb="FFFF0000"/>
      <name val="Arial"/>
      <family val="2"/>
    </font>
    <font>
      <b/>
      <sz val="8"/>
      <color rgb="FF595959"/>
      <name val="Arial"/>
      <family val="2"/>
    </font>
    <font>
      <b/>
      <u/>
      <sz val="8"/>
      <color rgb="FF595959"/>
      <name val="Arial"/>
      <family val="2"/>
    </font>
    <font>
      <b/>
      <u/>
      <sz val="9"/>
      <color rgb="FF2F2F2F"/>
      <name val="Arial"/>
      <family val="2"/>
    </font>
    <font>
      <b/>
      <sz val="9"/>
      <color theme="3"/>
      <name val="Arial"/>
      <family val="2"/>
    </font>
    <font>
      <sz val="11"/>
      <color theme="1"/>
      <name val="Calibri"/>
      <family val="2"/>
      <charset val="1"/>
    </font>
    <font>
      <b/>
      <u val="double"/>
      <sz val="9"/>
      <color rgb="FF2F2F2F"/>
      <name val="Arial"/>
      <family val="2"/>
    </font>
    <font>
      <sz val="9"/>
      <color rgb="FFC00000"/>
      <name val="Arial"/>
      <family val="2"/>
    </font>
    <font>
      <sz val="9"/>
      <color theme="1"/>
      <name val="Calibri"/>
      <family val="2"/>
      <charset val="1"/>
    </font>
    <font>
      <b/>
      <u val="singleAccounting"/>
      <sz val="8"/>
      <color rgb="FF2F2F2F"/>
      <name val="Arial"/>
      <family val="2"/>
    </font>
    <font>
      <b/>
      <u val="singleAccounting"/>
      <sz val="9"/>
      <color rgb="FF2F2F2F"/>
      <name val="Arial"/>
      <family val="2"/>
    </font>
    <font>
      <sz val="8"/>
      <color theme="0" tint="-0.499984740745262"/>
      <name val="Arial"/>
      <family val="2"/>
    </font>
    <font>
      <sz val="10"/>
      <color theme="1"/>
      <name val="Calibri"/>
      <family val="2"/>
      <charset val="1"/>
    </font>
    <font>
      <b/>
      <u/>
      <sz val="9"/>
      <color rgb="FF8B3A00"/>
      <name val="Arial"/>
      <family val="2"/>
    </font>
    <font>
      <b/>
      <u val="double"/>
      <sz val="12"/>
      <color rgb="FF2F2F2F"/>
      <name val="Arial"/>
      <family val="2"/>
    </font>
    <font>
      <b/>
      <sz val="14"/>
      <color theme="0"/>
      <name val="Calibri"/>
      <family val="2"/>
    </font>
    <font>
      <b/>
      <sz val="12"/>
      <color theme="0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rgb="FFC85000"/>
        <bgColor rgb="FF8B3A00"/>
      </patternFill>
    </fill>
    <fill>
      <patternFill patternType="solid">
        <fgColor rgb="FFFAFAFA"/>
        <bgColor rgb="FFFFF8F0"/>
      </patternFill>
    </fill>
    <fill>
      <patternFill patternType="solid">
        <fgColor rgb="FFF5E6D3"/>
        <bgColor rgb="FFFDF0E6"/>
      </patternFill>
    </fill>
    <fill>
      <patternFill patternType="solid">
        <fgColor rgb="FFFFF8F0"/>
        <bgColor rgb="FFFAFAFA"/>
      </patternFill>
    </fill>
    <fill>
      <patternFill patternType="solid">
        <fgColor rgb="FFFAD4B0"/>
        <bgColor rgb="FFF5E6D3"/>
      </patternFill>
    </fill>
    <fill>
      <patternFill patternType="solid">
        <fgColor rgb="FFFDF0E6"/>
        <bgColor rgb="FFFFF8F0"/>
      </patternFill>
    </fill>
    <fill>
      <patternFill patternType="solid">
        <fgColor rgb="FF375623"/>
        <bgColor rgb="FF595959"/>
      </patternFill>
    </fill>
    <fill>
      <patternFill patternType="solid">
        <fgColor rgb="FFF5F5F5"/>
        <bgColor rgb="FFFAFAFA"/>
      </patternFill>
    </fill>
    <fill>
      <patternFill patternType="solid">
        <fgColor rgb="FFFFFFFF"/>
        <bgColor rgb="FFFAFAFA"/>
      </patternFill>
    </fill>
    <fill>
      <patternFill patternType="solid">
        <fgColor rgb="FFE8F4E8"/>
        <bgColor rgb="FFF5F5F5"/>
      </patternFill>
    </fill>
    <fill>
      <patternFill patternType="solid">
        <fgColor theme="6" tint="0.39997558519241921"/>
        <bgColor rgb="FFF5F5F5"/>
      </patternFill>
    </fill>
    <fill>
      <patternFill patternType="solid">
        <fgColor rgb="FFEF6F00"/>
        <bgColor rgb="FF993366"/>
      </patternFill>
    </fill>
    <fill>
      <patternFill patternType="solid">
        <fgColor rgb="FFEF6F00"/>
        <bgColor rgb="FF8B3A00"/>
      </patternFill>
    </fill>
    <fill>
      <patternFill patternType="solid">
        <fgColor rgb="FFEF6F00"/>
        <bgColor rgb="FFFF9900"/>
      </patternFill>
    </fill>
    <fill>
      <patternFill patternType="solid">
        <fgColor rgb="FFE9F5E8"/>
        <bgColor rgb="FFFAFAFA"/>
      </patternFill>
    </fill>
    <fill>
      <patternFill patternType="solid">
        <fgColor theme="4" tint="0.59999389629810485"/>
        <bgColor rgb="FFFAFAFA"/>
      </patternFill>
    </fill>
    <fill>
      <patternFill patternType="solid">
        <fgColor theme="4" tint="0.59999389629810485"/>
        <bgColor rgb="FFFDF0E6"/>
      </patternFill>
    </fill>
    <fill>
      <patternFill patternType="solid">
        <fgColor rgb="FF8B3A00"/>
        <bgColor indexed="64"/>
      </patternFill>
    </fill>
    <fill>
      <patternFill patternType="solid">
        <fgColor rgb="FFFDF0E6"/>
        <bgColor indexed="64"/>
      </patternFill>
    </fill>
    <fill>
      <patternFill patternType="solid">
        <fgColor rgb="FFFAD4B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65623"/>
        <bgColor indexed="64"/>
      </patternFill>
    </fill>
  </fills>
  <borders count="12">
    <border>
      <left/>
      <right/>
      <top/>
      <bottom/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  <border>
      <left/>
      <right/>
      <top/>
      <bottom style="thin">
        <color rgb="FFE0E0E0"/>
      </bottom>
      <diagonal/>
    </border>
    <border>
      <left/>
      <right/>
      <top style="thin">
        <color rgb="FFE0E0E0"/>
      </top>
      <bottom/>
      <diagonal/>
    </border>
    <border>
      <left/>
      <right style="thin">
        <color rgb="FFE0E0E0"/>
      </right>
      <top style="thin">
        <color rgb="FFE0E0E0"/>
      </top>
      <bottom style="thin">
        <color rgb="FFE0E0E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rgb="FFE0E0E0"/>
      </top>
      <bottom style="thin">
        <color rgb="FFE0E0E0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rgb="FFE0E0E0"/>
      </left>
      <right/>
      <top style="thin">
        <color rgb="FFE0E0E0"/>
      </top>
      <bottom style="thin">
        <color rgb="FFE0E0E0"/>
      </bottom>
      <diagonal/>
    </border>
  </borders>
  <cellStyleXfs count="4">
    <xf numFmtId="0" fontId="0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4" fontId="26" fillId="0" borderId="0" applyFont="0" applyFill="0" applyBorder="0" applyAlignment="0" applyProtection="0"/>
  </cellStyleXfs>
  <cellXfs count="121">
    <xf numFmtId="0" fontId="0" fillId="0" borderId="0" xfId="0"/>
    <xf numFmtId="164" fontId="11" fillId="6" borderId="1" xfId="0" applyNumberFormat="1" applyFont="1" applyFill="1" applyBorder="1" applyAlignment="1">
      <alignment horizontal="right" vertical="center"/>
    </xf>
    <xf numFmtId="164" fontId="11" fillId="11" borderId="1" xfId="0" applyNumberFormat="1" applyFont="1" applyFill="1" applyBorder="1" applyAlignment="1">
      <alignment horizontal="right" vertical="center"/>
    </xf>
    <xf numFmtId="0" fontId="0" fillId="10" borderId="0" xfId="0" applyFill="1"/>
    <xf numFmtId="0" fontId="5" fillId="4" borderId="0" xfId="0" applyFont="1" applyFill="1" applyAlignment="1">
      <alignment horizontal="left" vertical="center" wrapText="1"/>
    </xf>
    <xf numFmtId="0" fontId="17" fillId="10" borderId="0" xfId="0" applyFont="1" applyFill="1" applyAlignment="1">
      <alignment horizontal="left" vertical="center" wrapText="1"/>
    </xf>
    <xf numFmtId="0" fontId="5" fillId="7" borderId="0" xfId="0" applyFont="1" applyFill="1" applyAlignment="1">
      <alignment horizontal="left" vertical="center" wrapText="1"/>
    </xf>
    <xf numFmtId="4" fontId="0" fillId="0" borderId="0" xfId="0" applyNumberFormat="1"/>
    <xf numFmtId="0" fontId="10" fillId="4" borderId="1" xfId="0" applyFont="1" applyFill="1" applyBorder="1" applyAlignment="1">
      <alignment horizontal="left" vertical="center" wrapText="1"/>
    </xf>
    <xf numFmtId="164" fontId="10" fillId="4" borderId="1" xfId="0" applyNumberFormat="1" applyFont="1" applyFill="1" applyBorder="1" applyAlignment="1">
      <alignment horizontal="right" vertical="center"/>
    </xf>
    <xf numFmtId="0" fontId="11" fillId="6" borderId="1" xfId="0" applyFont="1" applyFill="1" applyBorder="1" applyAlignment="1">
      <alignment horizontal="left" vertical="center" wrapText="1"/>
    </xf>
    <xf numFmtId="0" fontId="4" fillId="13" borderId="0" xfId="0" applyFont="1" applyFill="1" applyAlignment="1">
      <alignment horizontal="left" vertical="center" wrapText="1"/>
    </xf>
    <xf numFmtId="0" fontId="5" fillId="7" borderId="1" xfId="0" applyFont="1" applyFill="1" applyBorder="1" applyAlignment="1">
      <alignment horizontal="left" vertical="center" wrapText="1"/>
    </xf>
    <xf numFmtId="164" fontId="5" fillId="7" borderId="1" xfId="0" applyNumberFormat="1" applyFont="1" applyFill="1" applyBorder="1" applyAlignment="1">
      <alignment horizontal="right" vertical="center"/>
    </xf>
    <xf numFmtId="0" fontId="5" fillId="7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left" vertical="center" wrapText="1"/>
    </xf>
    <xf numFmtId="164" fontId="5" fillId="9" borderId="1" xfId="0" applyNumberFormat="1" applyFont="1" applyFill="1" applyBorder="1" applyAlignment="1">
      <alignment horizontal="right" vertical="center"/>
    </xf>
    <xf numFmtId="0" fontId="5" fillId="10" borderId="0" xfId="0" applyFont="1" applyFill="1"/>
    <xf numFmtId="0" fontId="5" fillId="9" borderId="0" xfId="0" applyFont="1" applyFill="1"/>
    <xf numFmtId="164" fontId="5" fillId="11" borderId="1" xfId="0" applyNumberFormat="1" applyFont="1" applyFill="1" applyBorder="1" applyAlignment="1">
      <alignment horizontal="right" vertical="center"/>
    </xf>
    <xf numFmtId="0" fontId="5" fillId="11" borderId="0" xfId="0" applyFont="1" applyFill="1"/>
    <xf numFmtId="164" fontId="11" fillId="12" borderId="1" xfId="0" applyNumberFormat="1" applyFont="1" applyFill="1" applyBorder="1" applyAlignment="1">
      <alignment horizontal="right" vertical="center"/>
    </xf>
    <xf numFmtId="0" fontId="5" fillId="12" borderId="0" xfId="0" applyFont="1" applyFill="1"/>
    <xf numFmtId="0" fontId="11" fillId="5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165" fontId="5" fillId="4" borderId="1" xfId="0" applyNumberFormat="1" applyFont="1" applyFill="1" applyBorder="1" applyAlignment="1">
      <alignment horizontal="right" vertical="center"/>
    </xf>
    <xf numFmtId="0" fontId="7" fillId="6" borderId="1" xfId="0" applyFont="1" applyFill="1" applyBorder="1" applyAlignment="1">
      <alignment horizontal="center" vertical="center" wrapText="1"/>
    </xf>
    <xf numFmtId="0" fontId="4" fillId="14" borderId="0" xfId="0" applyFont="1" applyFill="1" applyAlignment="1">
      <alignment horizontal="left" vertical="center" wrapText="1"/>
    </xf>
    <xf numFmtId="164" fontId="5" fillId="4" borderId="1" xfId="0" applyNumberFormat="1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right" vertical="center"/>
    </xf>
    <xf numFmtId="166" fontId="5" fillId="4" borderId="1" xfId="0" applyNumberFormat="1" applyFont="1" applyFill="1" applyBorder="1" applyAlignment="1">
      <alignment horizontal="right" vertical="center"/>
    </xf>
    <xf numFmtId="0" fontId="11" fillId="7" borderId="1" xfId="0" applyFont="1" applyFill="1" applyBorder="1" applyAlignment="1">
      <alignment horizontal="left" vertical="center" wrapText="1"/>
    </xf>
    <xf numFmtId="164" fontId="11" fillId="7" borderId="1" xfId="0" applyNumberFormat="1" applyFont="1" applyFill="1" applyBorder="1" applyAlignment="1">
      <alignment horizontal="right" vertical="center"/>
    </xf>
    <xf numFmtId="0" fontId="3" fillId="7" borderId="0" xfId="0" applyFont="1" applyFill="1" applyAlignment="1">
      <alignment horizontal="left" vertical="center" wrapText="1"/>
    </xf>
    <xf numFmtId="0" fontId="3" fillId="6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166" fontId="5" fillId="7" borderId="1" xfId="0" applyNumberFormat="1" applyFont="1" applyFill="1" applyBorder="1" applyAlignment="1">
      <alignment horizontal="right" vertical="center"/>
    </xf>
    <xf numFmtId="0" fontId="21" fillId="7" borderId="0" xfId="0" applyFont="1" applyFill="1" applyAlignment="1">
      <alignment horizontal="left" vertical="center" wrapText="1"/>
    </xf>
    <xf numFmtId="168" fontId="11" fillId="5" borderId="1" xfId="0" applyNumberFormat="1" applyFont="1" applyFill="1" applyBorder="1" applyAlignment="1">
      <alignment horizontal="right" vertical="center"/>
    </xf>
    <xf numFmtId="164" fontId="25" fillId="17" borderId="1" xfId="0" applyNumberFormat="1" applyFont="1" applyFill="1" applyBorder="1" applyAlignment="1" applyProtection="1">
      <alignment horizontal="right" vertical="center"/>
      <protection locked="0"/>
    </xf>
    <xf numFmtId="1" fontId="25" fillId="17" borderId="1" xfId="0" applyNumberFormat="1" applyFont="1" applyFill="1" applyBorder="1" applyAlignment="1" applyProtection="1">
      <alignment horizontal="right" vertical="center"/>
      <protection locked="0"/>
    </xf>
    <xf numFmtId="165" fontId="25" fillId="17" borderId="1" xfId="0" applyNumberFormat="1" applyFont="1" applyFill="1" applyBorder="1" applyAlignment="1" applyProtection="1">
      <alignment horizontal="right" vertical="center"/>
      <protection locked="0"/>
    </xf>
    <xf numFmtId="166" fontId="25" fillId="17" borderId="1" xfId="0" applyNumberFormat="1" applyFont="1" applyFill="1" applyBorder="1" applyAlignment="1" applyProtection="1">
      <alignment horizontal="right" vertical="center"/>
      <protection locked="0"/>
    </xf>
    <xf numFmtId="167" fontId="25" fillId="17" borderId="1" xfId="0" applyNumberFormat="1" applyFont="1" applyFill="1" applyBorder="1" applyAlignment="1" applyProtection="1">
      <alignment horizontal="right" vertical="center"/>
      <protection locked="0"/>
    </xf>
    <xf numFmtId="0" fontId="25" fillId="17" borderId="1" xfId="0" applyFont="1" applyFill="1" applyBorder="1" applyAlignment="1" applyProtection="1">
      <alignment horizontal="right" vertical="center"/>
      <protection locked="0"/>
    </xf>
    <xf numFmtId="9" fontId="25" fillId="17" borderId="1" xfId="1" applyFont="1" applyFill="1" applyBorder="1" applyAlignment="1" applyProtection="1">
      <alignment horizontal="right" vertical="center"/>
      <protection locked="0"/>
    </xf>
    <xf numFmtId="168" fontId="27" fillId="5" borderId="1" xfId="0" applyNumberFormat="1" applyFont="1" applyFill="1" applyBorder="1" applyAlignment="1">
      <alignment horizontal="right" vertical="center"/>
    </xf>
    <xf numFmtId="168" fontId="11" fillId="16" borderId="1" xfId="0" applyNumberFormat="1" applyFont="1" applyFill="1" applyBorder="1" applyAlignment="1">
      <alignment horizontal="right" vertical="center"/>
    </xf>
    <xf numFmtId="166" fontId="25" fillId="18" borderId="1" xfId="0" applyNumberFormat="1" applyFont="1" applyFill="1" applyBorder="1" applyAlignment="1">
      <alignment horizontal="right" vertical="center"/>
    </xf>
    <xf numFmtId="44" fontId="5" fillId="4" borderId="1" xfId="3" applyFont="1" applyFill="1" applyBorder="1" applyAlignment="1">
      <alignment horizontal="right" vertical="center"/>
    </xf>
    <xf numFmtId="10" fontId="5" fillId="4" borderId="1" xfId="1" applyNumberFormat="1" applyFont="1" applyFill="1" applyBorder="1" applyAlignment="1" applyProtection="1">
      <alignment horizontal="right" vertical="center"/>
    </xf>
    <xf numFmtId="0" fontId="0" fillId="22" borderId="0" xfId="0" applyFill="1"/>
    <xf numFmtId="0" fontId="13" fillId="19" borderId="5" xfId="0" applyFont="1" applyFill="1" applyBorder="1" applyAlignment="1">
      <alignment horizontal="center" wrapText="1"/>
    </xf>
    <xf numFmtId="0" fontId="14" fillId="20" borderId="5" xfId="0" applyFont="1" applyFill="1" applyBorder="1" applyAlignment="1">
      <alignment horizontal="center"/>
    </xf>
    <xf numFmtId="0" fontId="10" fillId="20" borderId="5" xfId="0" applyFont="1" applyFill="1" applyBorder="1" applyAlignment="1">
      <alignment horizontal="center"/>
    </xf>
    <xf numFmtId="0" fontId="14" fillId="22" borderId="5" xfId="0" applyFont="1" applyFill="1" applyBorder="1" applyAlignment="1">
      <alignment horizontal="center"/>
    </xf>
    <xf numFmtId="0" fontId="10" fillId="22" borderId="5" xfId="0" applyFont="1" applyFill="1" applyBorder="1" applyAlignment="1">
      <alignment horizontal="center"/>
    </xf>
    <xf numFmtId="0" fontId="13" fillId="10" borderId="6" xfId="0" applyFont="1" applyFill="1" applyBorder="1" applyAlignment="1">
      <alignment horizontal="center" vertical="center" wrapText="1"/>
    </xf>
    <xf numFmtId="0" fontId="13" fillId="8" borderId="5" xfId="0" applyFont="1" applyFill="1" applyBorder="1" applyAlignment="1">
      <alignment horizontal="center" vertical="center" wrapText="1"/>
    </xf>
    <xf numFmtId="164" fontId="7" fillId="11" borderId="5" xfId="0" applyNumberFormat="1" applyFont="1" applyFill="1" applyBorder="1" applyAlignment="1">
      <alignment horizontal="right" vertical="center"/>
    </xf>
    <xf numFmtId="164" fontId="10" fillId="11" borderId="5" xfId="0" applyNumberFormat="1" applyFont="1" applyFill="1" applyBorder="1" applyAlignment="1">
      <alignment horizontal="right" vertical="center"/>
    </xf>
    <xf numFmtId="164" fontId="11" fillId="11" borderId="5" xfId="0" applyNumberFormat="1" applyFont="1" applyFill="1" applyBorder="1" applyAlignment="1">
      <alignment horizontal="right" vertical="center"/>
    </xf>
    <xf numFmtId="164" fontId="7" fillId="10" borderId="5" xfId="0" applyNumberFormat="1" applyFont="1" applyFill="1" applyBorder="1" applyAlignment="1">
      <alignment horizontal="right" vertical="center"/>
    </xf>
    <xf numFmtId="164" fontId="10" fillId="10" borderId="5" xfId="0" applyNumberFormat="1" applyFont="1" applyFill="1" applyBorder="1" applyAlignment="1">
      <alignment horizontal="right" vertical="center"/>
    </xf>
    <xf numFmtId="44" fontId="10" fillId="20" borderId="5" xfId="3" applyFont="1" applyFill="1" applyBorder="1" applyAlignment="1">
      <alignment horizontal="right"/>
    </xf>
    <xf numFmtId="44" fontId="7" fillId="20" borderId="5" xfId="3" applyFont="1" applyFill="1" applyBorder="1" applyAlignment="1">
      <alignment horizontal="right"/>
    </xf>
    <xf numFmtId="44" fontId="11" fillId="21" borderId="5" xfId="3" applyFont="1" applyFill="1" applyBorder="1" applyAlignment="1">
      <alignment horizontal="right"/>
    </xf>
    <xf numFmtId="44" fontId="10" fillId="22" borderId="5" xfId="3" applyFont="1" applyFill="1" applyBorder="1" applyAlignment="1">
      <alignment horizontal="right"/>
    </xf>
    <xf numFmtId="44" fontId="7" fillId="22" borderId="5" xfId="3" applyFont="1" applyFill="1" applyBorder="1" applyAlignment="1">
      <alignment horizontal="right"/>
    </xf>
    <xf numFmtId="44" fontId="13" fillId="19" borderId="5" xfId="3" applyFont="1" applyFill="1" applyBorder="1" applyAlignment="1">
      <alignment horizontal="center" wrapText="1"/>
    </xf>
    <xf numFmtId="44" fontId="30" fillId="20" borderId="5" xfId="3" applyFont="1" applyFill="1" applyBorder="1" applyAlignment="1">
      <alignment horizontal="right"/>
    </xf>
    <xf numFmtId="44" fontId="31" fillId="21" borderId="5" xfId="3" applyFont="1" applyFill="1" applyBorder="1" applyAlignment="1">
      <alignment horizontal="right"/>
    </xf>
    <xf numFmtId="164" fontId="32" fillId="11" borderId="8" xfId="0" applyNumberFormat="1" applyFont="1" applyFill="1" applyBorder="1" applyAlignment="1">
      <alignment horizontal="left" vertical="center"/>
    </xf>
    <xf numFmtId="164" fontId="32" fillId="11" borderId="9" xfId="0" applyNumberFormat="1" applyFont="1" applyFill="1" applyBorder="1" applyAlignment="1">
      <alignment horizontal="left" vertical="center"/>
    </xf>
    <xf numFmtId="164" fontId="24" fillId="11" borderId="7" xfId="0" applyNumberFormat="1" applyFont="1" applyFill="1" applyBorder="1" applyAlignment="1">
      <alignment horizontal="right" vertical="center"/>
    </xf>
    <xf numFmtId="0" fontId="5" fillId="4" borderId="3" xfId="0" applyFont="1" applyFill="1" applyBorder="1" applyAlignment="1">
      <alignment horizontal="left" vertical="center" wrapText="1"/>
    </xf>
    <xf numFmtId="1" fontId="25" fillId="17" borderId="0" xfId="0" applyNumberFormat="1" applyFont="1" applyFill="1" applyAlignment="1" applyProtection="1">
      <alignment horizontal="right" vertical="center"/>
      <protection locked="0"/>
    </xf>
    <xf numFmtId="9" fontId="5" fillId="7" borderId="1" xfId="1" applyFont="1" applyFill="1" applyBorder="1" applyAlignment="1">
      <alignment horizontal="right" vertical="center"/>
    </xf>
    <xf numFmtId="169" fontId="5" fillId="4" borderId="3" xfId="2" applyNumberFormat="1" applyFont="1" applyFill="1" applyBorder="1" applyAlignment="1">
      <alignment horizontal="right" vertical="center"/>
    </xf>
    <xf numFmtId="170" fontId="5" fillId="4" borderId="3" xfId="0" applyNumberFormat="1" applyFont="1" applyFill="1" applyBorder="1" applyAlignment="1">
      <alignment horizontal="right" vertical="center"/>
    </xf>
    <xf numFmtId="0" fontId="14" fillId="20" borderId="8" xfId="0" applyFont="1" applyFill="1" applyBorder="1"/>
    <xf numFmtId="0" fontId="14" fillId="20" borderId="9" xfId="0" applyFont="1" applyFill="1" applyBorder="1"/>
    <xf numFmtId="0" fontId="14" fillId="20" borderId="10" xfId="0" applyFont="1" applyFill="1" applyBorder="1"/>
    <xf numFmtId="9" fontId="0" fillId="0" borderId="0" xfId="1" applyFont="1"/>
    <xf numFmtId="171" fontId="29" fillId="0" borderId="0" xfId="1" applyNumberFormat="1" applyFont="1" applyAlignment="1">
      <alignment horizontal="left"/>
    </xf>
    <xf numFmtId="169" fontId="5" fillId="7" borderId="1" xfId="2" applyNumberFormat="1" applyFont="1" applyFill="1" applyBorder="1" applyAlignment="1">
      <alignment horizontal="right" vertical="center"/>
    </xf>
    <xf numFmtId="44" fontId="0" fillId="0" borderId="0" xfId="0" applyNumberFormat="1"/>
    <xf numFmtId="10" fontId="5" fillId="7" borderId="1" xfId="1" applyNumberFormat="1" applyFont="1" applyFill="1" applyBorder="1" applyAlignment="1">
      <alignment horizontal="right" vertical="center"/>
    </xf>
    <xf numFmtId="0" fontId="33" fillId="0" borderId="0" xfId="0" applyFont="1"/>
    <xf numFmtId="164" fontId="32" fillId="11" borderId="10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68" fontId="35" fillId="5" borderId="1" xfId="0" applyNumberFormat="1" applyFont="1" applyFill="1" applyBorder="1" applyAlignment="1">
      <alignment horizontal="right" vertical="center"/>
    </xf>
    <xf numFmtId="0" fontId="16" fillId="7" borderId="0" xfId="0" applyFont="1" applyFill="1" applyAlignment="1">
      <alignment horizontal="left" vertical="center" wrapText="1"/>
    </xf>
    <xf numFmtId="0" fontId="12" fillId="1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14" borderId="0" xfId="0" applyFont="1" applyFill="1" applyAlignment="1">
      <alignment horizontal="left" vertical="center" wrapText="1"/>
    </xf>
    <xf numFmtId="0" fontId="4" fillId="13" borderId="0" xfId="0" applyFont="1" applyFill="1" applyAlignment="1">
      <alignment horizontal="left" vertical="center" wrapText="1"/>
    </xf>
    <xf numFmtId="0" fontId="8" fillId="6" borderId="0" xfId="0" applyFont="1" applyFill="1" applyAlignment="1">
      <alignment horizontal="left" vertical="center" wrapText="1"/>
    </xf>
    <xf numFmtId="0" fontId="9" fillId="7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9" fillId="7" borderId="2" xfId="0" applyFont="1" applyFill="1" applyBorder="1" applyAlignment="1">
      <alignment horizontal="left" vertical="center" wrapText="1"/>
    </xf>
    <xf numFmtId="0" fontId="6" fillId="15" borderId="0" xfId="0" applyFont="1" applyFill="1" applyAlignment="1">
      <alignment horizontal="left" vertical="center" wrapText="1"/>
    </xf>
    <xf numFmtId="0" fontId="1" fillId="13" borderId="0" xfId="0" applyFont="1" applyFill="1" applyAlignment="1">
      <alignment horizontal="center" vertical="center" wrapText="1"/>
    </xf>
    <xf numFmtId="0" fontId="2" fillId="14" borderId="0" xfId="0" applyFont="1" applyFill="1" applyAlignment="1">
      <alignment horizontal="center" vertical="center" wrapText="1"/>
    </xf>
    <xf numFmtId="0" fontId="19" fillId="3" borderId="0" xfId="0" applyFont="1" applyFill="1" applyAlignment="1">
      <alignment horizontal="left" vertical="center" wrapText="1"/>
    </xf>
    <xf numFmtId="0" fontId="37" fillId="19" borderId="0" xfId="0" applyFont="1" applyFill="1" applyAlignment="1">
      <alignment horizontal="center"/>
    </xf>
    <xf numFmtId="0" fontId="14" fillId="20" borderId="8" xfId="0" applyFont="1" applyFill="1" applyBorder="1" applyAlignment="1">
      <alignment horizontal="left"/>
    </xf>
    <xf numFmtId="0" fontId="14" fillId="20" borderId="9" xfId="0" applyFont="1" applyFill="1" applyBorder="1" applyAlignment="1">
      <alignment horizontal="left"/>
    </xf>
    <xf numFmtId="0" fontId="14" fillId="20" borderId="10" xfId="0" applyFont="1" applyFill="1" applyBorder="1" applyAlignment="1">
      <alignment horizontal="left"/>
    </xf>
    <xf numFmtId="0" fontId="36" fillId="19" borderId="0" xfId="0" applyFont="1" applyFill="1" applyAlignment="1">
      <alignment horizontal="center"/>
    </xf>
    <xf numFmtId="0" fontId="36" fillId="23" borderId="0" xfId="0" applyFont="1" applyFill="1" applyAlignment="1">
      <alignment horizontal="center"/>
    </xf>
    <xf numFmtId="0" fontId="5" fillId="7" borderId="11" xfId="0" applyFont="1" applyFill="1" applyBorder="1" applyAlignment="1">
      <alignment horizontal="left" vertical="center" wrapText="1"/>
    </xf>
    <xf numFmtId="0" fontId="5" fillId="7" borderId="4" xfId="0" applyFont="1" applyFill="1" applyBorder="1" applyAlignment="1">
      <alignment horizontal="left" vertical="center" wrapText="1"/>
    </xf>
    <xf numFmtId="0" fontId="4" fillId="13" borderId="2" xfId="0" applyFont="1" applyFill="1" applyBorder="1" applyAlignment="1">
      <alignment horizontal="center" vertical="center" wrapText="1"/>
    </xf>
    <xf numFmtId="0" fontId="28" fillId="4" borderId="3" xfId="0" applyFont="1" applyFill="1" applyBorder="1" applyAlignment="1">
      <alignment horizontal="left" vertical="top" wrapText="1"/>
    </xf>
    <xf numFmtId="0" fontId="15" fillId="13" borderId="0" xfId="0" applyFont="1" applyFill="1" applyAlignment="1">
      <alignment horizontal="center" vertical="center" wrapText="1"/>
    </xf>
    <xf numFmtId="0" fontId="18" fillId="7" borderId="0" xfId="0" applyFont="1" applyFill="1" applyAlignment="1">
      <alignment horizontal="left" vertical="center" wrapText="1"/>
    </xf>
  </cellXfs>
  <cellStyles count="4">
    <cellStyle name="Komma" xfId="2" builtinId="3"/>
    <cellStyle name="Prozent" xfId="1" builtinId="5"/>
    <cellStyle name="Standard" xfId="0" builtinId="0"/>
    <cellStyle name="Währung" xfId="3" builtinId="4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DF0E6"/>
      <rgbColor rgb="FF808080"/>
      <rgbColor rgb="FF9999FF"/>
      <rgbColor rgb="FF993366"/>
      <rgbColor rgb="FFFFF8F0"/>
      <rgbColor rgb="FFE8F4E8"/>
      <rgbColor rgb="FF660066"/>
      <rgbColor rgb="FFE8813C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5F5F5"/>
      <rgbColor rgb="FFE0E0E0"/>
      <rgbColor rgb="FFF5E6D3"/>
      <rgbColor rgb="FFFAFAFA"/>
      <rgbColor rgb="FFFF99CC"/>
      <rgbColor rgb="FFCC99FF"/>
      <rgbColor rgb="FFFAD4B0"/>
      <rgbColor rgb="FF3366FF"/>
      <rgbColor rgb="FF33CCCC"/>
      <rgbColor rgb="FF99CC00"/>
      <rgbColor rgb="FFFFCC00"/>
      <rgbColor rgb="FFFF9900"/>
      <rgbColor rgb="FFC85000"/>
      <rgbColor rgb="FF595959"/>
      <rgbColor rgb="FF878787"/>
      <rgbColor rgb="FF1F3864"/>
      <rgbColor rgb="FF339966"/>
      <rgbColor rgb="FF003300"/>
      <rgbColor rgb="FF375623"/>
      <rgbColor rgb="FF8B3A00"/>
      <rgbColor rgb="FF993366"/>
      <rgbColor rgb="FF333399"/>
      <rgbColor rgb="FF2F2F2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B3A00"/>
      <color rgb="FF365623"/>
      <color rgb="FFEF6F00"/>
      <color rgb="FFE9F5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de-DE" sz="1800" b="1" strike="noStrike" spc="-1">
                <a:solidFill>
                  <a:srgbClr val="000000"/>
                </a:solidFill>
                <a:latin typeface="Calibri"/>
              </a:rPr>
              <a:t>AVD vs. ETF – Nettowert nach Steuern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AVD Netto (nachgelagert besteuert)</c:v>
          </c:tx>
          <c:spPr>
            <a:ln w="24840">
              <a:solidFill>
                <a:srgbClr val="C8500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de-DE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Jahresverlauf!$A$7:$A$46</c:f>
              <c:numCache>
                <c:formatCode>General</c:formatCode>
                <c:ptCount val="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</c:numCache>
            </c:numRef>
          </c:cat>
          <c:val>
            <c:numRef>
              <c:f>Jahresverlauf!$H$7:$H$46</c:f>
              <c:numCache>
                <c:formatCode>_("€"* #,##0.00_);_("€"* \(#,##0.00\);_("€"* "-"??_);_(@_)</c:formatCode>
                <c:ptCount val="40"/>
                <c:pt idx="0">
                  <c:v>1851.5249999999999</c:v>
                </c:pt>
                <c:pt idx="1">
                  <c:v>3804.8838749999995</c:v>
                </c:pt>
                <c:pt idx="2">
                  <c:v>5865.6774881249985</c:v>
                </c:pt>
                <c:pt idx="3">
                  <c:v>8039.8147499718743</c:v>
                </c:pt>
                <c:pt idx="4">
                  <c:v>10333.529561220326</c:v>
                </c:pt>
                <c:pt idx="5">
                  <c:v>12753.398687087443</c:v>
                </c:pt>
                <c:pt idx="6">
                  <c:v>15306.360614877252</c:v>
                </c:pt>
                <c:pt idx="7">
                  <c:v>17999.735448695497</c:v>
                </c:pt>
                <c:pt idx="8">
                  <c:v>20841.245898373749</c:v>
                </c:pt>
                <c:pt idx="9">
                  <c:v>23839.039422784306</c:v>
                </c:pt>
                <c:pt idx="10">
                  <c:v>27001.711591037438</c:v>
                </c:pt>
                <c:pt idx="11">
                  <c:v>30338.330728544497</c:v>
                </c:pt>
                <c:pt idx="12">
                  <c:v>33858.463918614449</c:v>
                </c:pt>
                <c:pt idx="13">
                  <c:v>37572.204434138243</c:v>
                </c:pt>
                <c:pt idx="14">
                  <c:v>41490.200678015841</c:v>
                </c:pt>
                <c:pt idx="15">
                  <c:v>45623.686715306707</c:v>
                </c:pt>
                <c:pt idx="16">
                  <c:v>49984.514484648578</c:v>
                </c:pt>
                <c:pt idx="17">
                  <c:v>54585.187781304245</c:v>
                </c:pt>
                <c:pt idx="18">
                  <c:v>59438.898109275979</c:v>
                </c:pt>
                <c:pt idx="19">
                  <c:v>64559.562505286143</c:v>
                </c:pt>
                <c:pt idx="20">
                  <c:v>69961.863443076887</c:v>
                </c:pt>
                <c:pt idx="21">
                  <c:v>75661.290932446107</c:v>
                </c:pt>
                <c:pt idx="22">
                  <c:v>81674.186933730642</c:v>
                </c:pt>
                <c:pt idx="23">
                  <c:v>88017.792215085821</c:v>
                </c:pt>
                <c:pt idx="24">
                  <c:v>94710.295786915536</c:v>
                </c:pt>
                <c:pt idx="25">
                  <c:v>101770.88705519588</c:v>
                </c:pt>
                <c:pt idx="26">
                  <c:v>109219.81084323165</c:v>
                </c:pt>
                <c:pt idx="27">
                  <c:v>117078.42543960939</c:v>
                </c:pt>
                <c:pt idx="28">
                  <c:v>125369.26383878791</c:v>
                </c:pt>
                <c:pt idx="29">
                  <c:v>134116.09834992123</c:v>
                </c:pt>
                <c:pt idx="30">
                  <c:v>143344.0087591669</c:v>
                </c:pt>
                <c:pt idx="31">
                  <c:v>153079.45424092107</c:v>
                </c:pt>
                <c:pt idx="32">
                  <c:v>163350.34922417172</c:v>
                </c:pt>
                <c:pt idx="33">
                  <c:v>174186.14343150117</c:v>
                </c:pt>
                <c:pt idx="34">
                  <c:v>185617.90632023371</c:v>
                </c:pt>
                <c:pt idx="35">
                  <c:v>197678.41616784653</c:v>
                </c:pt>
                <c:pt idx="36">
                  <c:v>210402.2540570781</c:v>
                </c:pt>
                <c:pt idx="37">
                  <c:v>223825.90303021739</c:v>
                </c:pt>
                <c:pt idx="38">
                  <c:v>237987.85269687933</c:v>
                </c:pt>
                <c:pt idx="39">
                  <c:v>252928.70959520765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B26-F448-AB41-26B286119A2D}"/>
            </c:ext>
          </c:extLst>
        </c:ser>
        <c:ser>
          <c:idx val="1"/>
          <c:order val="1"/>
          <c:tx>
            <c:v>ETF Netto (Abgeltungssteuer)</c:v>
          </c:tx>
          <c:spPr>
            <a:ln w="24840">
              <a:solidFill>
                <a:srgbClr val="375623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de-DE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Jahresverlauf!$A$7:$A$46</c:f>
              <c:numCache>
                <c:formatCode>General</c:formatCode>
                <c:ptCount val="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</c:numCache>
            </c:numRef>
          </c:cat>
          <c:val>
            <c:numRef>
              <c:f>Jahresverlauf!$Q$7:$Q$46</c:f>
              <c:numCache>
                <c:formatCode>#,##0.00" €";\(#,##0.00" €)";\-</c:formatCode>
                <c:ptCount val="40"/>
                <c:pt idx="0">
                  <c:v>1892.5692300000001</c:v>
                </c:pt>
                <c:pt idx="1">
                  <c:v>3875.6326253400002</c:v>
                </c:pt>
                <c:pt idx="2">
                  <c:v>5962.3146842497208</c:v>
                </c:pt>
                <c:pt idx="3">
                  <c:v>8158.6252892162056</c:v>
                </c:pt>
                <c:pt idx="4">
                  <c:v>10470.922895910746</c:v>
                </c:pt>
                <c:pt idx="5">
                  <c:v>12905.934750433569</c:v>
                </c:pt>
                <c:pt idx="6">
                  <c:v>15470.778279158716</c:v>
                </c:pt>
                <c:pt idx="7">
                  <c:v>18172.983719189921</c:v>
                </c:pt>
                <c:pt idx="8">
                  <c:v>21020.518061382936</c:v>
                </c:pt>
                <c:pt idx="9">
                  <c:v>24021.810382063148</c:v>
                </c:pt>
                <c:pt idx="10">
                  <c:v>27185.778643982812</c:v>
                </c:pt>
                <c:pt idx="11">
                  <c:v>30521.85805173382</c:v>
                </c:pt>
                <c:pt idx="12">
                  <c:v>34040.031051774378</c:v>
                </c:pt>
                <c:pt idx="13">
                  <c:v>37750.859072457293</c:v>
                </c:pt>
                <c:pt idx="14">
                  <c:v>41665.516104979819</c:v>
                </c:pt>
                <c:pt idx="15">
                  <c:v>45795.824232028652</c:v>
                </c:pt>
                <c:pt idx="16">
                  <c:v>50154.291217086313</c:v>
                </c:pt>
                <c:pt idx="17">
                  <c:v>54754.150273917323</c:v>
                </c:pt>
                <c:pt idx="18">
                  <c:v>59609.402142684536</c:v>
                </c:pt>
                <c:pt idx="19">
                  <c:v>64734.859606480248</c:v>
                </c:pt>
                <c:pt idx="20">
                  <c:v>70146.194589816107</c:v>
                </c:pt>
                <c:pt idx="21">
                  <c:v>75859.987988825436</c:v>
                </c:pt>
                <c:pt idx="22">
                  <c:v>81893.782391617322</c:v>
                </c:pt>
                <c:pt idx="23">
                  <c:v>88266.137856411122</c:v>
                </c:pt>
                <c:pt idx="24">
                  <c:v>94996.69092480297</c:v>
                </c:pt>
                <c:pt idx="25">
                  <c:v>102106.21705780155</c:v>
                </c:pt>
                <c:pt idx="26">
                  <c:v>109616.69669315405</c:v>
                </c:pt>
                <c:pt idx="27">
                  <c:v>117551.38513399698</c:v>
                </c:pt>
                <c:pt idx="28">
                  <c:v>125934.88649104882</c:v>
                </c:pt>
                <c:pt idx="29">
                  <c:v>134793.23191344965</c:v>
                </c:pt>
                <c:pt idx="30">
                  <c:v>144153.96235698971</c:v>
                </c:pt>
                <c:pt idx="31">
                  <c:v>154046.21615289513</c:v>
                </c:pt>
                <c:pt idx="32">
                  <c:v>164500.82165560304</c:v>
                </c:pt>
                <c:pt idx="33">
                  <c:v>175550.39526410803</c:v>
                </c:pt>
                <c:pt idx="34">
                  <c:v>187229.4451285463</c:v>
                </c:pt>
                <c:pt idx="35">
                  <c:v>199574.480871762</c:v>
                </c:pt>
                <c:pt idx="36">
                  <c:v>212624.12967472419</c:v>
                </c:pt>
                <c:pt idx="37">
                  <c:v>226419.25909489821</c:v>
                </c:pt>
                <c:pt idx="38">
                  <c:v>241003.1070080823</c:v>
                </c:pt>
                <c:pt idx="39">
                  <c:v>256421.41908687112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B26-F448-AB41-26B286119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38370455"/>
        <c:axId val="15597739"/>
      </c:lineChart>
      <c:catAx>
        <c:axId val="3837045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de-DE" sz="1000" b="1" strike="noStrike" spc="-1">
                    <a:solidFill>
                      <a:srgbClr val="000000"/>
                    </a:solidFill>
                    <a:latin typeface="Calibri"/>
                  </a:rPr>
                  <a:t>Jahr der Laufzeit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15597739"/>
        <c:crosses val="autoZero"/>
        <c:auto val="1"/>
        <c:lblAlgn val="ctr"/>
        <c:lblOffset val="100"/>
        <c:noMultiLvlLbl val="0"/>
      </c:catAx>
      <c:valAx>
        <c:axId val="15597739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de-DE" sz="1000" b="1" strike="noStrike" spc="-1">
                    <a:solidFill>
                      <a:srgbClr val="000000"/>
                    </a:solidFill>
                    <a:latin typeface="Calibri"/>
                  </a:rPr>
                  <a:t>Wert in €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.00&quot; €&quot;;\(#,##0.00&quot; €)&quot;;\-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38370455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de-DE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110192</xdr:colOff>
      <xdr:row>4</xdr:row>
      <xdr:rowOff>16731</xdr:rowOff>
    </xdr:from>
    <xdr:to>
      <xdr:col>6</xdr:col>
      <xdr:colOff>42544</xdr:colOff>
      <xdr:row>10</xdr:row>
      <xdr:rowOff>187501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70CC27A-CBA2-7816-D09A-50542C69E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1702" y="1127981"/>
          <a:ext cx="3973863" cy="15972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15</xdr:col>
      <xdr:colOff>186480</xdr:colOff>
      <xdr:row>33</xdr:row>
      <xdr:rowOff>43920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E186BE3A-3E83-2141-AB28-9393106D6012}">
  <we:reference id="wa200009404" version="1.0.0.8" store="en-US" storeType="OMEX"/>
  <we:alternateReferences>
    <we:reference id="WA200009404" version="1.0.0.8" store="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0"/>
  <sheetViews>
    <sheetView showGridLines="0" tabSelected="1" zoomScale="209" zoomScaleNormal="209" workbookViewId="0">
      <selection activeCell="C9" sqref="C9"/>
    </sheetView>
  </sheetViews>
  <sheetFormatPr baseColWidth="10" defaultColWidth="8.6640625" defaultRowHeight="15" x14ac:dyDescent="0.2"/>
  <cols>
    <col min="1" max="1" width="2" customWidth="1"/>
    <col min="2" max="2" width="34" customWidth="1"/>
    <col min="3" max="3" width="17" customWidth="1"/>
    <col min="4" max="4" width="2" customWidth="1"/>
    <col min="5" max="5" width="34" customWidth="1"/>
    <col min="6" max="6" width="17" customWidth="1"/>
    <col min="7" max="7" width="2" customWidth="1"/>
  </cols>
  <sheetData>
    <row r="1" spans="1:7" ht="36" customHeight="1" x14ac:dyDescent="0.2">
      <c r="A1" s="106" t="s">
        <v>137</v>
      </c>
      <c r="B1" s="106"/>
      <c r="C1" s="106"/>
      <c r="D1" s="106"/>
      <c r="E1" s="106"/>
      <c r="F1" s="106"/>
      <c r="G1" s="106"/>
    </row>
    <row r="2" spans="1:7" ht="18" customHeight="1" x14ac:dyDescent="0.2">
      <c r="A2" s="107" t="s">
        <v>0</v>
      </c>
      <c r="B2" s="107"/>
      <c r="C2" s="107"/>
      <c r="D2" s="107"/>
      <c r="E2" s="107"/>
      <c r="F2" s="107"/>
      <c r="G2" s="107"/>
    </row>
    <row r="3" spans="1:7" ht="15.75" customHeight="1" x14ac:dyDescent="0.2">
      <c r="A3" s="108" t="s">
        <v>211</v>
      </c>
      <c r="B3" s="108"/>
      <c r="C3" s="108"/>
      <c r="D3" s="108"/>
      <c r="E3" s="108"/>
      <c r="F3" s="108"/>
      <c r="G3" s="108"/>
    </row>
    <row r="4" spans="1:7" ht="18" customHeight="1" x14ac:dyDescent="0.2"/>
    <row r="5" spans="1:7" ht="21.75" customHeight="1" x14ac:dyDescent="0.2">
      <c r="B5" s="100" t="s">
        <v>1</v>
      </c>
      <c r="C5" s="100"/>
    </row>
    <row r="6" spans="1:7" ht="18" customHeight="1" x14ac:dyDescent="0.2">
      <c r="B6" s="27" t="s">
        <v>221</v>
      </c>
      <c r="C6" s="52">
        <f>MIN(150,C8)</f>
        <v>150</v>
      </c>
    </row>
    <row r="7" spans="1:7" ht="18" customHeight="1" x14ac:dyDescent="0.2">
      <c r="B7" s="27" t="s">
        <v>222</v>
      </c>
      <c r="C7" s="52">
        <f>C8-C6</f>
        <v>0</v>
      </c>
    </row>
    <row r="8" spans="1:7" ht="21" customHeight="1" x14ac:dyDescent="0.2">
      <c r="B8" s="27" t="s">
        <v>153</v>
      </c>
      <c r="C8" s="42">
        <v>150</v>
      </c>
    </row>
    <row r="9" spans="1:7" ht="18" customHeight="1" x14ac:dyDescent="0.2">
      <c r="B9" s="27" t="s">
        <v>154</v>
      </c>
      <c r="C9" s="52">
        <f>C8*12</f>
        <v>1800</v>
      </c>
    </row>
    <row r="10" spans="1:7" ht="18" customHeight="1" x14ac:dyDescent="0.2">
      <c r="B10" s="27" t="s">
        <v>4</v>
      </c>
      <c r="C10" s="43">
        <v>30</v>
      </c>
    </row>
    <row r="11" spans="1:7" ht="18" customHeight="1" x14ac:dyDescent="0.2">
      <c r="B11" s="27" t="s">
        <v>5</v>
      </c>
      <c r="C11" s="44">
        <v>0.06</v>
      </c>
    </row>
    <row r="12" spans="1:7" ht="27" customHeight="1" x14ac:dyDescent="0.2">
      <c r="B12" s="27" t="s">
        <v>198</v>
      </c>
      <c r="C12" s="45">
        <v>0.42</v>
      </c>
    </row>
    <row r="13" spans="1:7" ht="18" customHeight="1" x14ac:dyDescent="0.2">
      <c r="B13" s="27" t="s">
        <v>197</v>
      </c>
      <c r="C13" s="45">
        <v>0.25</v>
      </c>
    </row>
    <row r="14" spans="1:7" ht="18" customHeight="1" x14ac:dyDescent="0.2">
      <c r="B14" s="4" t="s">
        <v>152</v>
      </c>
      <c r="C14" s="43">
        <v>2027</v>
      </c>
    </row>
    <row r="15" spans="1:7" ht="18" customHeight="1" x14ac:dyDescent="0.2">
      <c r="B15" s="4" t="s">
        <v>166</v>
      </c>
      <c r="C15" s="79">
        <v>67</v>
      </c>
    </row>
    <row r="16" spans="1:7" ht="18" customHeight="1" x14ac:dyDescent="0.2"/>
    <row r="17" spans="2:6" ht="21.75" customHeight="1" x14ac:dyDescent="0.2">
      <c r="B17" s="99" t="s">
        <v>10</v>
      </c>
      <c r="C17" s="99"/>
      <c r="E17" s="100" t="s">
        <v>2</v>
      </c>
      <c r="F17" s="100"/>
    </row>
    <row r="18" spans="2:6" ht="18" customHeight="1" x14ac:dyDescent="0.2">
      <c r="B18" s="27" t="s">
        <v>11</v>
      </c>
      <c r="C18" s="47" t="s">
        <v>12</v>
      </c>
      <c r="E18" s="27" t="s">
        <v>3</v>
      </c>
      <c r="F18" s="44">
        <v>2E-3</v>
      </c>
    </row>
    <row r="19" spans="2:6" ht="23" customHeight="1" x14ac:dyDescent="0.2">
      <c r="B19" s="27" t="s">
        <v>141</v>
      </c>
      <c r="C19" s="42">
        <v>0</v>
      </c>
      <c r="E19" s="27" t="s">
        <v>157</v>
      </c>
      <c r="F19" s="44">
        <v>3.2000000000000001E-2</v>
      </c>
    </row>
    <row r="20" spans="2:6" ht="18" customHeight="1" x14ac:dyDescent="0.2">
      <c r="B20" s="27" t="s">
        <v>13</v>
      </c>
      <c r="C20" s="44">
        <v>5.0000000000000001E-3</v>
      </c>
      <c r="E20" s="27" t="s">
        <v>156</v>
      </c>
      <c r="F20" s="53">
        <f>F19*0.7</f>
        <v>2.24E-2</v>
      </c>
    </row>
    <row r="21" spans="2:6" ht="18" customHeight="1" x14ac:dyDescent="0.2">
      <c r="B21" s="27" t="s">
        <v>14</v>
      </c>
      <c r="C21" s="28">
        <f>C11-C20</f>
        <v>5.5E-2</v>
      </c>
      <c r="E21" s="27" t="s">
        <v>140</v>
      </c>
      <c r="F21" s="46">
        <v>1000</v>
      </c>
    </row>
    <row r="22" spans="2:6" ht="18" customHeight="1" x14ac:dyDescent="0.2">
      <c r="E22" s="27" t="s">
        <v>155</v>
      </c>
      <c r="F22" s="45">
        <v>0.3</v>
      </c>
    </row>
    <row r="23" spans="2:6" ht="19.5" customHeight="1" x14ac:dyDescent="0.2">
      <c r="B23" s="105" t="s">
        <v>138</v>
      </c>
      <c r="C23" s="105"/>
      <c r="E23" s="27" t="s">
        <v>6</v>
      </c>
      <c r="F23" s="45">
        <v>0.25</v>
      </c>
    </row>
    <row r="24" spans="2:6" ht="35" customHeight="1" x14ac:dyDescent="0.2">
      <c r="B24" s="29" t="s">
        <v>15</v>
      </c>
      <c r="C24" s="29" t="s">
        <v>16</v>
      </c>
      <c r="E24" s="27" t="s">
        <v>7</v>
      </c>
      <c r="F24" s="45">
        <v>5.5E-2</v>
      </c>
    </row>
    <row r="25" spans="2:6" ht="18" customHeight="1" x14ac:dyDescent="0.2">
      <c r="B25" s="26" t="s">
        <v>17</v>
      </c>
      <c r="C25" s="43">
        <v>0</v>
      </c>
      <c r="E25" s="27" t="s">
        <v>8</v>
      </c>
      <c r="F25" s="28">
        <f>F23*(1+F24)</f>
        <v>0.26374999999999998</v>
      </c>
    </row>
    <row r="26" spans="2:6" ht="18" customHeight="1" x14ac:dyDescent="0.2">
      <c r="B26" s="26" t="s">
        <v>18</v>
      </c>
      <c r="C26" s="43">
        <v>0</v>
      </c>
      <c r="E26" s="27" t="s">
        <v>9</v>
      </c>
      <c r="F26" s="28">
        <f>C11-F18</f>
        <v>5.7999999999999996E-2</v>
      </c>
    </row>
    <row r="27" spans="2:6" ht="18" customHeight="1" x14ac:dyDescent="0.2">
      <c r="B27" s="26" t="s">
        <v>19</v>
      </c>
      <c r="C27" s="43">
        <v>0</v>
      </c>
    </row>
    <row r="28" spans="2:6" ht="18" customHeight="1" x14ac:dyDescent="0.2">
      <c r="B28" s="26" t="s">
        <v>20</v>
      </c>
      <c r="C28" s="43">
        <v>0</v>
      </c>
    </row>
    <row r="29" spans="2:6" ht="18" customHeight="1" x14ac:dyDescent="0.2">
      <c r="B29" s="26" t="s">
        <v>21</v>
      </c>
      <c r="C29" s="43">
        <v>0</v>
      </c>
    </row>
    <row r="30" spans="2:6" ht="38" customHeight="1" x14ac:dyDescent="0.2">
      <c r="B30" s="104" t="s">
        <v>145</v>
      </c>
      <c r="C30" s="104"/>
    </row>
    <row r="31" spans="2:6" ht="18" customHeight="1" x14ac:dyDescent="0.2">
      <c r="B31" s="101" t="s">
        <v>213</v>
      </c>
      <c r="C31" s="101"/>
      <c r="E31" s="101" t="s">
        <v>212</v>
      </c>
      <c r="F31" s="101"/>
    </row>
    <row r="32" spans="2:6" ht="15.75" customHeight="1" x14ac:dyDescent="0.2">
      <c r="B32" s="102" t="str">
        <f>IF(LEFT(C18,2)="JA","Eigenbeitrag (unmittelbar): " &amp; C6*12 &amp; " €/Jahr","Eigenbeitrag Ehegatte (mittelbar): " &amp; C19*12 &amp; " €/Jahr")</f>
        <v>Eigenbeitrag (unmittelbar): 1800 €/Jahr</v>
      </c>
      <c r="C32" s="102"/>
      <c r="E32" s="102" t="str">
        <f>B32</f>
        <v>Eigenbeitrag (unmittelbar): 1800 €/Jahr</v>
      </c>
      <c r="F32" s="102"/>
    </row>
    <row r="33" spans="2:6" ht="18" customHeight="1" x14ac:dyDescent="0.2">
      <c r="B33" s="8" t="s">
        <v>22</v>
      </c>
      <c r="C33" s="9">
        <f>IF(LEFT(C18,2)="JA",C6*12,C19*12)</f>
        <v>1800</v>
      </c>
      <c r="E33" s="8" t="s">
        <v>22</v>
      </c>
      <c r="F33" s="9">
        <f>C33</f>
        <v>1800</v>
      </c>
    </row>
    <row r="34" spans="2:6" ht="18" customHeight="1" x14ac:dyDescent="0.2">
      <c r="B34" s="8" t="s">
        <v>23</v>
      </c>
      <c r="C34" s="9">
        <f>IF(C33&gt;=120,IF(LEFT(C18,2)="JA",MIN(0.5*MIN(C33,360)+0.25*MAX(MIN(C33,1800)-360,0),540),MIN(0.5*MIN(C33,360)+0.25*MAX(MIN(C33,1800)-360,0),175)),0)</f>
        <v>540</v>
      </c>
      <c r="E34" s="8" t="s">
        <v>23</v>
      </c>
      <c r="F34" s="9">
        <f>C34</f>
        <v>540</v>
      </c>
    </row>
    <row r="35" spans="2:6" ht="22" customHeight="1" x14ac:dyDescent="0.2">
      <c r="B35" s="8" t="s">
        <v>24</v>
      </c>
      <c r="C35" s="9">
        <f>IF(C33&gt;=120,IFERROR((MIN(C33,300)*MIN(C25,C10)+MIN(C33,300)*MIN(C26,C10)+MIN(C33,300)*MIN(C27,C10)+MIN(C33,300)*MIN(C28,C10)+MIN(C33,300)*MIN(C29,C10))/C10,0),0)</f>
        <v>0</v>
      </c>
      <c r="E35" s="8" t="s">
        <v>24</v>
      </c>
      <c r="F35" s="9">
        <f>IF(F33&lt;120,0,MIN(F33,300)*COUNTIF(C25:C29,"&lt;&gt;0"))</f>
        <v>0</v>
      </c>
    </row>
    <row r="36" spans="2:6" ht="18" customHeight="1" x14ac:dyDescent="0.2">
      <c r="B36" s="10" t="s">
        <v>25</v>
      </c>
      <c r="C36" s="1">
        <f>C34+C35</f>
        <v>540</v>
      </c>
      <c r="E36" s="10" t="s">
        <v>25</v>
      </c>
      <c r="F36" s="1">
        <f>F34+F35</f>
        <v>540</v>
      </c>
    </row>
    <row r="37" spans="2:6" ht="18" customHeight="1" x14ac:dyDescent="0.2"/>
    <row r="38" spans="2:6" ht="21.75" customHeight="1" x14ac:dyDescent="0.2">
      <c r="B38" s="100" t="s">
        <v>142</v>
      </c>
      <c r="C38" s="100"/>
    </row>
    <row r="39" spans="2:6" ht="15.75" customHeight="1" x14ac:dyDescent="0.2">
      <c r="B39" s="102" t="str">
        <f>IF(LEFT(C18,2)="JA","Günstigerprüfung anwendbar","Kein SA-Abzug für mittelbar Berechtigte")</f>
        <v>Günstigerprüfung anwendbar</v>
      </c>
      <c r="C39" s="102"/>
    </row>
    <row r="40" spans="2:6" ht="38" customHeight="1" x14ac:dyDescent="0.2">
      <c r="B40" s="104" t="s">
        <v>126</v>
      </c>
      <c r="C40" s="104"/>
    </row>
    <row r="41" spans="2:6" ht="26" customHeight="1" x14ac:dyDescent="0.2">
      <c r="B41" s="12" t="s">
        <v>150</v>
      </c>
      <c r="C41" s="13">
        <f>IF(LEFT(C18,2)="JA",MIN(C33,1800)+C36,0)</f>
        <v>2340</v>
      </c>
    </row>
    <row r="42" spans="2:6" ht="24" customHeight="1" x14ac:dyDescent="0.2">
      <c r="B42" s="12" t="s">
        <v>26</v>
      </c>
      <c r="C42" s="13">
        <f>C41*C12</f>
        <v>982.8</v>
      </c>
    </row>
    <row r="43" spans="2:6" ht="18" customHeight="1" x14ac:dyDescent="0.2">
      <c r="B43" s="12" t="s">
        <v>27</v>
      </c>
      <c r="C43" s="14" t="str">
        <f>IF(LEFT(C18,2)="JA",IF(C42&gt;C36,"→ SA günstiger","→ Zulage günstiger"),"Nicht anwendbar")</f>
        <v>→ SA günstiger</v>
      </c>
    </row>
    <row r="44" spans="2:6" ht="25" customHeight="1" x14ac:dyDescent="0.2">
      <c r="B44" s="12" t="s">
        <v>28</v>
      </c>
      <c r="C44" s="13">
        <f>IF(LEFT(C18,2)="JA",MAX(C42-C36,0),0)</f>
        <v>442.79999999999995</v>
      </c>
    </row>
    <row r="45" spans="2:6" ht="18" customHeight="1" x14ac:dyDescent="0.2">
      <c r="B45" s="10" t="s">
        <v>29</v>
      </c>
      <c r="C45" s="1">
        <f>IF(LEFT(C18,2)="JA",C36+C44,C36)</f>
        <v>982.8</v>
      </c>
    </row>
    <row r="46" spans="2:6" ht="18" customHeight="1" x14ac:dyDescent="0.2"/>
    <row r="47" spans="2:6" ht="24" customHeight="1" x14ac:dyDescent="0.2">
      <c r="B47" s="100" t="s">
        <v>131</v>
      </c>
      <c r="C47" s="100"/>
      <c r="D47" s="100"/>
      <c r="E47" s="100"/>
      <c r="F47" s="100"/>
    </row>
    <row r="48" spans="2:6" ht="29" customHeight="1" x14ac:dyDescent="0.2">
      <c r="B48" s="93" t="s">
        <v>207</v>
      </c>
      <c r="C48" s="15"/>
      <c r="D48" s="15"/>
      <c r="E48" s="94" t="s">
        <v>208</v>
      </c>
      <c r="F48" s="16"/>
    </row>
    <row r="49" spans="2:6" ht="18" customHeight="1" x14ac:dyDescent="0.2">
      <c r="B49" s="17" t="s">
        <v>30</v>
      </c>
      <c r="C49" s="18">
        <f>Jahresverlauf!C93+Jahresverlauf!C139</f>
        <v>54000</v>
      </c>
      <c r="D49" s="19"/>
      <c r="E49" s="18">
        <f>Rechner!C49</f>
        <v>54000</v>
      </c>
      <c r="F49" s="20"/>
    </row>
    <row r="50" spans="2:6" ht="18" customHeight="1" x14ac:dyDescent="0.2">
      <c r="B50" s="17" t="s">
        <v>122</v>
      </c>
      <c r="C50" s="18">
        <f>C36*C10</f>
        <v>16200</v>
      </c>
      <c r="D50" s="19"/>
      <c r="E50" s="18" t="s">
        <v>31</v>
      </c>
      <c r="F50" s="20"/>
    </row>
    <row r="51" spans="2:6" ht="18" customHeight="1" x14ac:dyDescent="0.2">
      <c r="B51" s="12" t="s">
        <v>32</v>
      </c>
      <c r="C51" s="35">
        <f>Jahresverlauf!F47</f>
        <v>178821.46446656165</v>
      </c>
      <c r="D51" s="19"/>
      <c r="E51" s="2">
        <f>Jahresverlauf!Q47+Jahresverlauf!P47</f>
        <v>145362.44417688408</v>
      </c>
      <c r="F51" s="22"/>
    </row>
    <row r="52" spans="2:6" ht="27" customHeight="1" x14ac:dyDescent="0.2">
      <c r="B52" s="12" t="s">
        <v>205</v>
      </c>
      <c r="C52" s="13">
        <f>Auszahlung!C84</f>
        <v>44705.36611664042</v>
      </c>
      <c r="D52" s="19"/>
      <c r="E52" s="21">
        <f>Jahresverlauf!P47</f>
        <v>10569.21226343444</v>
      </c>
      <c r="F52" s="22"/>
    </row>
    <row r="53" spans="2:6" ht="38" customHeight="1" x14ac:dyDescent="0.2">
      <c r="B53" s="10" t="s">
        <v>209</v>
      </c>
      <c r="C53" s="1">
        <f>C51-C52</f>
        <v>134116.09834992123</v>
      </c>
      <c r="D53" s="19"/>
      <c r="E53" s="23">
        <f>E51-E52</f>
        <v>134793.23191344965</v>
      </c>
      <c r="F53" s="24"/>
    </row>
    <row r="54" spans="2:6" ht="30" customHeight="1" x14ac:dyDescent="0.2">
      <c r="B54" s="25" t="s">
        <v>146</v>
      </c>
      <c r="C54" s="41">
        <f>Rechner!C44*Rechner!C10</f>
        <v>13283.999999999998</v>
      </c>
      <c r="D54" s="19"/>
      <c r="E54" s="50">
        <f>Jahresverlauf!N47*-1</f>
        <v>-1480.3899711788083</v>
      </c>
      <c r="F54" s="22"/>
    </row>
    <row r="55" spans="2:6" ht="39" x14ac:dyDescent="0.2">
      <c r="B55" s="25" t="s">
        <v>214</v>
      </c>
      <c r="C55" s="95">
        <f>C53-E53+C54-E54</f>
        <v>14087.256407650388</v>
      </c>
      <c r="D55" s="19"/>
      <c r="E55" s="21"/>
      <c r="F55" s="22"/>
    </row>
    <row r="56" spans="2:6" x14ac:dyDescent="0.2">
      <c r="B56" s="25"/>
      <c r="C56" s="49"/>
      <c r="D56" s="19"/>
      <c r="E56" s="21"/>
      <c r="F56" s="22"/>
    </row>
    <row r="57" spans="2:6" ht="25" customHeight="1" x14ac:dyDescent="0.2">
      <c r="B57" s="93" t="s">
        <v>210</v>
      </c>
      <c r="C57" s="15"/>
      <c r="D57" s="19"/>
      <c r="E57" s="21"/>
      <c r="F57" s="22"/>
    </row>
    <row r="58" spans="2:6" ht="30" customHeight="1" x14ac:dyDescent="0.2">
      <c r="B58" s="10" t="s">
        <v>130</v>
      </c>
      <c r="C58" s="1">
        <f>Kündigung!C30</f>
        <v>129316.59692858371</v>
      </c>
      <c r="D58" s="19"/>
      <c r="E58" s="21"/>
      <c r="F58" s="22"/>
    </row>
    <row r="59" spans="2:6" ht="25" customHeight="1" x14ac:dyDescent="0.2">
      <c r="B59" s="25" t="s">
        <v>215</v>
      </c>
      <c r="C59" s="95">
        <f>C58-E53-E54</f>
        <v>-3996.2450136871366</v>
      </c>
      <c r="D59" s="19"/>
      <c r="E59" s="21"/>
      <c r="F59" s="22"/>
    </row>
    <row r="60" spans="2:6" ht="18" customHeight="1" x14ac:dyDescent="0.2"/>
    <row r="61" spans="2:6" ht="21.75" customHeight="1" x14ac:dyDescent="0.2">
      <c r="B61" s="103" t="s">
        <v>132</v>
      </c>
      <c r="C61" s="103"/>
      <c r="D61" s="103"/>
      <c r="E61" s="103"/>
      <c r="F61" s="103"/>
    </row>
    <row r="62" spans="2:6" ht="18" customHeight="1" x14ac:dyDescent="0.2"/>
    <row r="63" spans="2:6" ht="18" customHeight="1" x14ac:dyDescent="0.2"/>
    <row r="64" spans="2:6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  <row r="75" ht="18" customHeight="1" x14ac:dyDescent="0.2"/>
    <row r="76" ht="18" customHeight="1" x14ac:dyDescent="0.2"/>
    <row r="77" ht="18" customHeight="1" x14ac:dyDescent="0.2"/>
    <row r="78" ht="18" customHeight="1" x14ac:dyDescent="0.2"/>
    <row r="79" ht="18" customHeight="1" x14ac:dyDescent="0.2"/>
    <row r="80" ht="18" customHeight="1" x14ac:dyDescent="0.2"/>
    <row r="81" ht="18" customHeight="1" x14ac:dyDescent="0.2"/>
    <row r="82" ht="18" customHeight="1" x14ac:dyDescent="0.2"/>
    <row r="83" ht="18" customHeight="1" x14ac:dyDescent="0.2"/>
    <row r="84" ht="18" customHeight="1" x14ac:dyDescent="0.2"/>
    <row r="85" ht="18" customHeight="1" x14ac:dyDescent="0.2"/>
    <row r="86" ht="18" customHeight="1" x14ac:dyDescent="0.2"/>
    <row r="87" ht="18" customHeight="1" x14ac:dyDescent="0.2"/>
    <row r="88" ht="18" customHeight="1" x14ac:dyDescent="0.2"/>
    <row r="89" ht="18" customHeight="1" x14ac:dyDescent="0.2"/>
    <row r="90" ht="18" customHeight="1" x14ac:dyDescent="0.2"/>
    <row r="91" ht="18" customHeight="1" x14ac:dyDescent="0.2"/>
    <row r="92" ht="18" customHeight="1" x14ac:dyDescent="0.2"/>
    <row r="93" ht="18" customHeight="1" x14ac:dyDescent="0.2"/>
    <row r="94" ht="18" customHeight="1" x14ac:dyDescent="0.2"/>
    <row r="95" ht="18" customHeight="1" x14ac:dyDescent="0.2"/>
    <row r="96" ht="18" customHeight="1" x14ac:dyDescent="0.2"/>
    <row r="97" ht="18" customHeight="1" x14ac:dyDescent="0.2"/>
    <row r="98" ht="18" customHeight="1" x14ac:dyDescent="0.2"/>
    <row r="99" ht="18" customHeight="1" x14ac:dyDescent="0.2"/>
    <row r="100" ht="18" customHeight="1" x14ac:dyDescent="0.2"/>
    <row r="101" ht="18" customHeight="1" x14ac:dyDescent="0.2"/>
    <row r="102" ht="18" customHeight="1" x14ac:dyDescent="0.2"/>
    <row r="103" ht="18" customHeight="1" x14ac:dyDescent="0.2"/>
    <row r="104" ht="18" customHeight="1" x14ac:dyDescent="0.2"/>
    <row r="105" ht="18" customHeight="1" x14ac:dyDescent="0.2"/>
    <row r="106" ht="18" customHeight="1" x14ac:dyDescent="0.2"/>
    <row r="107" ht="18" customHeight="1" x14ac:dyDescent="0.2"/>
    <row r="108" ht="18" customHeight="1" x14ac:dyDescent="0.2"/>
    <row r="109" ht="18" customHeight="1" x14ac:dyDescent="0.2"/>
    <row r="110" ht="18" customHeight="1" x14ac:dyDescent="0.2"/>
    <row r="111" ht="18" customHeight="1" x14ac:dyDescent="0.2"/>
    <row r="112" ht="18" customHeight="1" x14ac:dyDescent="0.2"/>
    <row r="113" ht="18" customHeight="1" x14ac:dyDescent="0.2"/>
    <row r="114" ht="18" customHeight="1" x14ac:dyDescent="0.2"/>
    <row r="115" ht="18" customHeight="1" x14ac:dyDescent="0.2"/>
    <row r="116" ht="18" customHeight="1" x14ac:dyDescent="0.2"/>
    <row r="117" ht="18" customHeight="1" x14ac:dyDescent="0.2"/>
    <row r="118" ht="18" customHeight="1" x14ac:dyDescent="0.2"/>
    <row r="119" ht="18" customHeight="1" x14ac:dyDescent="0.2"/>
    <row r="120" ht="18" customHeight="1" x14ac:dyDescent="0.2"/>
  </sheetData>
  <mergeCells count="17">
    <mergeCell ref="A1:G1"/>
    <mergeCell ref="A2:G2"/>
    <mergeCell ref="A3:G3"/>
    <mergeCell ref="B5:C5"/>
    <mergeCell ref="E17:F17"/>
    <mergeCell ref="B17:C17"/>
    <mergeCell ref="B23:C23"/>
    <mergeCell ref="B31:C31"/>
    <mergeCell ref="B32:C32"/>
    <mergeCell ref="B38:C38"/>
    <mergeCell ref="B30:C30"/>
    <mergeCell ref="E31:F31"/>
    <mergeCell ref="E32:F32"/>
    <mergeCell ref="B39:C39"/>
    <mergeCell ref="B47:F47"/>
    <mergeCell ref="B61:F61"/>
    <mergeCell ref="B40:C40"/>
  </mergeCells>
  <conditionalFormatting sqref="C54:C56 C59">
    <cfRule type="cellIs" dxfId="1" priority="2" stopIfTrue="1" operator="lessThan">
      <formula>0</formula>
    </cfRule>
  </conditionalFormatting>
  <conditionalFormatting sqref="E54">
    <cfRule type="cellIs" dxfId="0" priority="1" stopIfTrue="1" operator="lessThan">
      <formula>0</formula>
    </cfRule>
  </conditionalFormatting>
  <dataValidations count="7">
    <dataValidation type="list" showErrorMessage="1" errorTitle="Ungültige Eingabe" error="Bitte &quot;JA - unmittelbar&quot; oder &quot;NEIN - mittelbar&quot; auswählen." sqref="C18" xr:uid="{00000000-0002-0000-0000-000000000000}">
      <formula1>"JA - unmittelbar,NEIN - mittelbar"</formula1>
      <formula2>0</formula2>
    </dataValidation>
    <dataValidation operator="lessThan" allowBlank="1" showInputMessage="1" showErrorMessage="1" sqref="C6" xr:uid="{608AEB22-6BDB-544C-82D4-4305880D44CE}"/>
    <dataValidation type="decimal" operator="lessThanOrEqual" allowBlank="1" showInputMessage="1" showErrorMessage="1" sqref="C19" xr:uid="{CC508BD8-3FF6-8146-AE8C-B2F465A1A9A1}">
      <formula1>150</formula1>
    </dataValidation>
    <dataValidation errorStyle="information" operator="lessThan" allowBlank="1" showInputMessage="1" showErrorMessage="1" errorTitle="Eintrag nicht zulässig" sqref="C9" xr:uid="{3C45E1CE-89FF-B54A-A8AB-D38E87BEAB23}"/>
    <dataValidation operator="lessThan" allowBlank="1" showInputMessage="1" showErrorMessage="1" errorTitle="Fehlerhafter Eintrag" error="Eintrag nur erlaubt, wenn zunächst der geförderter Eigenbetrag ausgeschöpft wurde (bis zu 150 € bitte in Zelle C6 eintragen)._x000a__x000a_Der ungeröderter Eigenbetrag darf 420 € montlich nicht übersteigen!_x000a_" sqref="C7" xr:uid="{152A89B3-CE7D-3A46-B2EC-2781328C618B}"/>
    <dataValidation type="whole" allowBlank="1" showInputMessage="1" showErrorMessage="1" error="Bitte tragen Sie nur ganze Zahlen zwischen 1 und 40 ein." sqref="C10" xr:uid="{2593A518-C6EA-A449-B14F-284D27FB7124}">
      <formula1>0</formula1>
      <formula2>40</formula2>
    </dataValidation>
    <dataValidation type="whole" errorStyle="information" operator="lessThanOrEqual" allowBlank="1" showInputMessage="1" showErrorMessage="1" errorTitle="Eintrag nicht zulässig" error="Tragen Sie bitte eine Zahl zwischen 0 € und 570 € ein._x000a_" sqref="C8" xr:uid="{250403FC-8356-E24F-999A-E5D08A33040C}">
      <formula1>570</formula1>
    </dataValidation>
  </dataValidation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39"/>
  <sheetViews>
    <sheetView showGridLines="0" topLeftCell="A77" zoomScale="148" zoomScaleNormal="148" workbookViewId="0">
      <selection activeCell="A96" sqref="A96:H96"/>
    </sheetView>
  </sheetViews>
  <sheetFormatPr baseColWidth="10" defaultColWidth="8.6640625" defaultRowHeight="15" x14ac:dyDescent="0.2"/>
  <cols>
    <col min="1" max="1" width="4" customWidth="1"/>
    <col min="2" max="2" width="7" customWidth="1"/>
    <col min="3" max="3" width="19" customWidth="1"/>
    <col min="4" max="4" width="14" customWidth="1"/>
    <col min="5" max="5" width="11.1640625" customWidth="1"/>
    <col min="6" max="8" width="19" customWidth="1"/>
    <col min="9" max="9" width="3" customWidth="1"/>
    <col min="10" max="10" width="19" customWidth="1"/>
    <col min="11" max="16" width="14.83203125" customWidth="1"/>
    <col min="17" max="17" width="19" customWidth="1"/>
  </cols>
  <sheetData>
    <row r="1" spans="1:18" ht="27.75" customHeight="1" x14ac:dyDescent="0.2">
      <c r="A1" s="97" t="s">
        <v>33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</row>
    <row r="2" spans="1:18" ht="25" customHeight="1" x14ac:dyDescent="0.2">
      <c r="A2" s="98" t="s">
        <v>220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</row>
    <row r="3" spans="1:18" ht="25" customHeight="1" x14ac:dyDescent="0.2"/>
    <row r="4" spans="1:18" ht="19" x14ac:dyDescent="0.25">
      <c r="A4" s="113" t="s">
        <v>216</v>
      </c>
      <c r="B4" s="113"/>
      <c r="C4" s="113"/>
      <c r="D4" s="113"/>
      <c r="E4" s="113"/>
      <c r="F4" s="113"/>
      <c r="G4" s="113"/>
      <c r="H4" s="113"/>
      <c r="J4" s="114" t="s">
        <v>217</v>
      </c>
      <c r="K4" s="114"/>
      <c r="L4" s="114"/>
      <c r="M4" s="114"/>
      <c r="N4" s="114"/>
      <c r="O4" s="114"/>
      <c r="P4" s="114"/>
      <c r="Q4" s="114"/>
    </row>
    <row r="5" spans="1:18" ht="4" customHeight="1" x14ac:dyDescent="0.25">
      <c r="A5" s="113"/>
      <c r="B5" s="113"/>
      <c r="C5" s="113"/>
      <c r="D5" s="113"/>
      <c r="E5" s="113"/>
      <c r="F5" s="113"/>
      <c r="G5" s="113"/>
      <c r="H5" s="113"/>
      <c r="J5" s="114"/>
      <c r="K5" s="114"/>
      <c r="L5" s="114"/>
      <c r="M5" s="114"/>
      <c r="N5" s="114"/>
      <c r="O5" s="114"/>
      <c r="P5" s="114"/>
      <c r="Q5" s="114"/>
    </row>
    <row r="6" spans="1:18" ht="98" customHeight="1" x14ac:dyDescent="0.2">
      <c r="A6" s="55" t="s">
        <v>34</v>
      </c>
      <c r="B6" s="55" t="s">
        <v>35</v>
      </c>
      <c r="C6" s="55" t="s">
        <v>160</v>
      </c>
      <c r="D6" s="55" t="s">
        <v>144</v>
      </c>
      <c r="E6" s="55" t="s">
        <v>143</v>
      </c>
      <c r="F6" s="55" t="s">
        <v>36</v>
      </c>
      <c r="G6" s="55" t="s">
        <v>202</v>
      </c>
      <c r="H6" s="55" t="s">
        <v>37</v>
      </c>
      <c r="I6" s="60"/>
      <c r="J6" s="61" t="s">
        <v>38</v>
      </c>
      <c r="K6" s="61" t="s">
        <v>148</v>
      </c>
      <c r="L6" s="61" t="s">
        <v>39</v>
      </c>
      <c r="M6" s="61" t="s">
        <v>149</v>
      </c>
      <c r="N6" s="61" t="s">
        <v>123</v>
      </c>
      <c r="O6" s="61" t="s">
        <v>128</v>
      </c>
      <c r="P6" s="61" t="s">
        <v>206</v>
      </c>
      <c r="Q6" s="61" t="s">
        <v>40</v>
      </c>
    </row>
    <row r="7" spans="1:18" ht="15.75" customHeight="1" x14ac:dyDescent="0.2">
      <c r="A7" s="56">
        <v>1</v>
      </c>
      <c r="B7" s="57">
        <f>Rechner!C14</f>
        <v>2027</v>
      </c>
      <c r="C7" s="67">
        <f t="shared" ref="C7:C46" si="0">C53+C99</f>
        <v>1800</v>
      </c>
      <c r="D7" s="67">
        <f t="shared" ref="D7:E26" si="1">D53</f>
        <v>540</v>
      </c>
      <c r="E7" s="67">
        <f t="shared" si="1"/>
        <v>0</v>
      </c>
      <c r="F7" s="68">
        <f t="shared" ref="F7:G26" si="2">F53+F99</f>
        <v>2468.6999999999998</v>
      </c>
      <c r="G7" s="67">
        <f t="shared" si="2"/>
        <v>617.17499999999995</v>
      </c>
      <c r="H7" s="69">
        <f t="shared" ref="H7:H46" si="3">F7-G7</f>
        <v>1851.5249999999999</v>
      </c>
      <c r="I7" s="3"/>
      <c r="J7" s="62">
        <f>(C7)*(1+Rechner!F26)</f>
        <v>1904.4</v>
      </c>
      <c r="K7" s="63">
        <f>MAX(0,Rechner!C8*12*Rechner!F20*(1-Rechner!F22))</f>
        <v>28.223999999999997</v>
      </c>
      <c r="L7" s="63">
        <f>K7</f>
        <v>28.223999999999997</v>
      </c>
      <c r="M7" s="63">
        <f>MAX(0,K7-Rechner!$F$21)*Rechner!$F$25</f>
        <v>0</v>
      </c>
      <c r="N7" s="63">
        <f>M7</f>
        <v>0</v>
      </c>
      <c r="O7" s="63">
        <f>J7-L7/(1-Rechner!$F$22)-C7</f>
        <v>64.080000000000155</v>
      </c>
      <c r="P7" s="63">
        <f>O7*Rechner!$F$25*(1-Rechner!$F$22)</f>
        <v>11.830770000000026</v>
      </c>
      <c r="Q7" s="64">
        <f>J7-P7</f>
        <v>1892.5692300000001</v>
      </c>
      <c r="R7" s="7"/>
    </row>
    <row r="8" spans="1:18" ht="15.75" customHeight="1" x14ac:dyDescent="0.2">
      <c r="A8" s="58">
        <v>2</v>
      </c>
      <c r="B8" s="59">
        <f t="shared" ref="B8:B46" si="4">B7+1</f>
        <v>2028</v>
      </c>
      <c r="C8" s="70">
        <f t="shared" si="0"/>
        <v>3600</v>
      </c>
      <c r="D8" s="70">
        <f t="shared" si="1"/>
        <v>540</v>
      </c>
      <c r="E8" s="70">
        <f t="shared" si="1"/>
        <v>0</v>
      </c>
      <c r="F8" s="71">
        <f t="shared" si="2"/>
        <v>5073.1784999999991</v>
      </c>
      <c r="G8" s="70">
        <f t="shared" si="2"/>
        <v>1268.2946249999998</v>
      </c>
      <c r="H8" s="69">
        <f t="shared" si="3"/>
        <v>3804.8838749999995</v>
      </c>
      <c r="I8" s="3"/>
      <c r="J8" s="65">
        <f>(J7+$C$7)*(1+Rechner!$F$26)</f>
        <v>3919.2552000000005</v>
      </c>
      <c r="K8" s="66">
        <f>MAX(0,J7*Rechner!F20*(1-Rechner!F22))</f>
        <v>29.860992</v>
      </c>
      <c r="L8" s="66">
        <f t="shared" ref="L8:L46" si="5">L7+K8</f>
        <v>58.084992</v>
      </c>
      <c r="M8" s="66">
        <f>MAX(0,K8-Rechner!$F$21)*Rechner!$F$25</f>
        <v>0</v>
      </c>
      <c r="N8" s="66">
        <f>N7+M8</f>
        <v>0</v>
      </c>
      <c r="O8" s="66">
        <f>J8-L8/(1-Rechner!$F$22)-C8</f>
        <v>236.2766400000005</v>
      </c>
      <c r="P8" s="66">
        <f>O8*Rechner!$F$25*(1-Rechner!$F$22)</f>
        <v>43.62257466000009</v>
      </c>
      <c r="Q8" s="64">
        <f t="shared" ref="Q8:Q45" si="6">J8-P8</f>
        <v>3875.6326253400002</v>
      </c>
    </row>
    <row r="9" spans="1:18" ht="15.75" customHeight="1" x14ac:dyDescent="0.2">
      <c r="A9" s="56">
        <v>3</v>
      </c>
      <c r="B9" s="57">
        <f t="shared" si="4"/>
        <v>2029</v>
      </c>
      <c r="C9" s="67">
        <f t="shared" si="0"/>
        <v>5400</v>
      </c>
      <c r="D9" s="67">
        <f t="shared" si="1"/>
        <v>540</v>
      </c>
      <c r="E9" s="67">
        <f t="shared" si="1"/>
        <v>0</v>
      </c>
      <c r="F9" s="68">
        <f t="shared" si="2"/>
        <v>7820.9033174999986</v>
      </c>
      <c r="G9" s="67">
        <f t="shared" si="2"/>
        <v>1955.2258293749996</v>
      </c>
      <c r="H9" s="69">
        <f t="shared" si="3"/>
        <v>5865.6774881249985</v>
      </c>
      <c r="I9" s="3"/>
      <c r="J9" s="62">
        <f>(J8+$C$7)*(1+Rechner!$F$26)</f>
        <v>6050.972001600001</v>
      </c>
      <c r="K9" s="63">
        <f>MAX(0,J8*Rechner!F20*(1-Rechner!F22))</f>
        <v>61.453921536000003</v>
      </c>
      <c r="L9" s="63">
        <f t="shared" si="5"/>
        <v>119.538913536</v>
      </c>
      <c r="M9" s="63">
        <f>MAX(0,K9-Rechner!$F$21)*Rechner!$F$25</f>
        <v>0</v>
      </c>
      <c r="N9" s="63">
        <f t="shared" ref="N9:N46" si="7">N8+M9</f>
        <v>0</v>
      </c>
      <c r="O9" s="63">
        <f>J9-L9/(1-Rechner!$F$22)-C9</f>
        <v>480.20212512000126</v>
      </c>
      <c r="P9" s="63">
        <f>O9*Rechner!$F$25*(1-Rechner!$F$22)</f>
        <v>88.657317350280223</v>
      </c>
      <c r="Q9" s="64">
        <f t="shared" si="6"/>
        <v>5962.3146842497208</v>
      </c>
    </row>
    <row r="10" spans="1:18" ht="15.75" customHeight="1" x14ac:dyDescent="0.2">
      <c r="A10" s="58">
        <v>4</v>
      </c>
      <c r="B10" s="59">
        <f t="shared" si="4"/>
        <v>2030</v>
      </c>
      <c r="C10" s="70">
        <f t="shared" si="0"/>
        <v>7200</v>
      </c>
      <c r="D10" s="70">
        <f t="shared" si="1"/>
        <v>540</v>
      </c>
      <c r="E10" s="70">
        <f t="shared" si="1"/>
        <v>0</v>
      </c>
      <c r="F10" s="71">
        <f t="shared" si="2"/>
        <v>10719.752999962499</v>
      </c>
      <c r="G10" s="70">
        <f t="shared" si="2"/>
        <v>2679.9382499906246</v>
      </c>
      <c r="H10" s="69">
        <f t="shared" si="3"/>
        <v>8039.8147499718743</v>
      </c>
      <c r="I10" s="3"/>
      <c r="J10" s="65">
        <f>(J9+$C$7)*(1+Rechner!$F$26)</f>
        <v>8306.328377692802</v>
      </c>
      <c r="K10" s="66">
        <f>MAX(0,J9*Rechner!F20*(1-Rechner!F22))</f>
        <v>94.879240985088003</v>
      </c>
      <c r="L10" s="66">
        <f t="shared" si="5"/>
        <v>214.41815452108801</v>
      </c>
      <c r="M10" s="66">
        <f>MAX(0,K10-Rechner!$F$21)*Rechner!$F$25</f>
        <v>0</v>
      </c>
      <c r="N10" s="66">
        <f t="shared" si="7"/>
        <v>0</v>
      </c>
      <c r="O10" s="66">
        <f>J10-L10/(1-Rechner!$F$22)-C10</f>
        <v>800.01672837696151</v>
      </c>
      <c r="P10" s="66">
        <f>O10*Rechner!$F$25*(1-Rechner!$F$22)</f>
        <v>147.70308847659649</v>
      </c>
      <c r="Q10" s="64">
        <f t="shared" si="6"/>
        <v>8158.6252892162056</v>
      </c>
    </row>
    <row r="11" spans="1:18" ht="15.75" customHeight="1" x14ac:dyDescent="0.2">
      <c r="A11" s="56">
        <v>5</v>
      </c>
      <c r="B11" s="57">
        <f t="shared" si="4"/>
        <v>2031</v>
      </c>
      <c r="C11" s="67">
        <f t="shared" si="0"/>
        <v>9000</v>
      </c>
      <c r="D11" s="67">
        <f t="shared" si="1"/>
        <v>540</v>
      </c>
      <c r="E11" s="67">
        <f t="shared" si="1"/>
        <v>0</v>
      </c>
      <c r="F11" s="68">
        <f t="shared" si="2"/>
        <v>13778.039414960434</v>
      </c>
      <c r="G11" s="67">
        <f t="shared" si="2"/>
        <v>3444.5098537401086</v>
      </c>
      <c r="H11" s="69">
        <f t="shared" si="3"/>
        <v>10333.529561220326</v>
      </c>
      <c r="I11" s="3"/>
      <c r="J11" s="62">
        <f>(J10+$C$7)*(1+Rechner!$F$26)</f>
        <v>10692.495423598984</v>
      </c>
      <c r="K11" s="63">
        <f>MAX(0,J10*Rechner!F20*(1-Rechner!F22))</f>
        <v>130.24322896222313</v>
      </c>
      <c r="L11" s="63">
        <f t="shared" si="5"/>
        <v>344.66138348331117</v>
      </c>
      <c r="M11" s="63">
        <f>MAX(0,K11-Rechner!$F$21)*Rechner!$F$25</f>
        <v>0</v>
      </c>
      <c r="N11" s="63">
        <f t="shared" si="7"/>
        <v>0</v>
      </c>
      <c r="O11" s="63">
        <f>J11-L11/(1-Rechner!$F$22)-C11</f>
        <v>1200.1220186228256</v>
      </c>
      <c r="P11" s="63">
        <f>O11*Rechner!$F$25*(1-Rechner!$F$22)</f>
        <v>221.57252768823915</v>
      </c>
      <c r="Q11" s="64">
        <f t="shared" si="6"/>
        <v>10470.922895910746</v>
      </c>
    </row>
    <row r="12" spans="1:18" ht="15.75" customHeight="1" x14ac:dyDescent="0.2">
      <c r="A12" s="58">
        <v>6</v>
      </c>
      <c r="B12" s="59">
        <f t="shared" si="4"/>
        <v>2032</v>
      </c>
      <c r="C12" s="70">
        <f t="shared" si="0"/>
        <v>10800</v>
      </c>
      <c r="D12" s="70">
        <f t="shared" si="1"/>
        <v>540</v>
      </c>
      <c r="E12" s="70">
        <f t="shared" si="1"/>
        <v>0</v>
      </c>
      <c r="F12" s="71">
        <f t="shared" si="2"/>
        <v>17004.531582783256</v>
      </c>
      <c r="G12" s="70">
        <f t="shared" si="2"/>
        <v>4251.1328956958141</v>
      </c>
      <c r="H12" s="69">
        <f t="shared" si="3"/>
        <v>12753.398687087443</v>
      </c>
      <c r="I12" s="3"/>
      <c r="J12" s="65">
        <f>(J11+$C$7)*(1+Rechner!$F$26)</f>
        <v>13217.060158167726</v>
      </c>
      <c r="K12" s="66">
        <f>MAX(0,J11*Rechner!F20*(1-Rechner!F22))</f>
        <v>167.65832824203207</v>
      </c>
      <c r="L12" s="66">
        <f t="shared" si="5"/>
        <v>512.31971172534327</v>
      </c>
      <c r="M12" s="66">
        <f>MAX(0,K12-Rechner!$F$21)*Rechner!$F$25</f>
        <v>0</v>
      </c>
      <c r="N12" s="66">
        <f t="shared" si="7"/>
        <v>0</v>
      </c>
      <c r="O12" s="66">
        <f>J12-L12/(1-Rechner!$F$22)-C12</f>
        <v>1685.1748557029496</v>
      </c>
      <c r="P12" s="66">
        <f>O12*Rechner!$F$25*(1-Rechner!$F$22)</f>
        <v>311.12540773415702</v>
      </c>
      <c r="Q12" s="64">
        <f t="shared" si="6"/>
        <v>12905.934750433569</v>
      </c>
    </row>
    <row r="13" spans="1:18" ht="15.75" customHeight="1" x14ac:dyDescent="0.2">
      <c r="A13" s="56">
        <v>7</v>
      </c>
      <c r="B13" s="57">
        <f t="shared" si="4"/>
        <v>2033</v>
      </c>
      <c r="C13" s="67">
        <f t="shared" si="0"/>
        <v>12600</v>
      </c>
      <c r="D13" s="67">
        <f t="shared" si="1"/>
        <v>540</v>
      </c>
      <c r="E13" s="67">
        <f t="shared" si="1"/>
        <v>0</v>
      </c>
      <c r="F13" s="68">
        <f t="shared" si="2"/>
        <v>20408.480819836335</v>
      </c>
      <c r="G13" s="67">
        <f t="shared" si="2"/>
        <v>5102.1202049590838</v>
      </c>
      <c r="H13" s="69">
        <f t="shared" si="3"/>
        <v>15306.360614877252</v>
      </c>
      <c r="I13" s="3"/>
      <c r="J13" s="62">
        <f>(J12+$C$7)*(1+Rechner!$F$26)</f>
        <v>15888.049647341455</v>
      </c>
      <c r="K13" s="63">
        <f>MAX(0,J12*Rechner!F20*(1-Rechner!F22))</f>
        <v>207.24350328006994</v>
      </c>
      <c r="L13" s="63">
        <f t="shared" si="5"/>
        <v>719.56321500541321</v>
      </c>
      <c r="M13" s="63">
        <f>MAX(0,K13-Rechner!$F$21)*Rechner!$F$25</f>
        <v>0</v>
      </c>
      <c r="N13" s="63">
        <f t="shared" si="7"/>
        <v>0</v>
      </c>
      <c r="O13" s="63">
        <f>J13-L13/(1-Rechner!$F$22)-C13</f>
        <v>2260.1021973337211</v>
      </c>
      <c r="P13" s="63">
        <f>O13*Rechner!$F$25*(1-Rechner!$F$22)</f>
        <v>417.27136818273817</v>
      </c>
      <c r="Q13" s="64">
        <f t="shared" si="6"/>
        <v>15470.778279158716</v>
      </c>
    </row>
    <row r="14" spans="1:18" ht="15.75" customHeight="1" x14ac:dyDescent="0.2">
      <c r="A14" s="58">
        <v>8</v>
      </c>
      <c r="B14" s="59">
        <f t="shared" si="4"/>
        <v>2034</v>
      </c>
      <c r="C14" s="70">
        <f t="shared" si="0"/>
        <v>14400</v>
      </c>
      <c r="D14" s="70">
        <f t="shared" si="1"/>
        <v>540</v>
      </c>
      <c r="E14" s="70">
        <f t="shared" si="1"/>
        <v>0</v>
      </c>
      <c r="F14" s="71">
        <f t="shared" si="2"/>
        <v>23999.647264927331</v>
      </c>
      <c r="G14" s="70">
        <f t="shared" si="2"/>
        <v>5999.9118162318327</v>
      </c>
      <c r="H14" s="69">
        <f t="shared" si="3"/>
        <v>17999.735448695497</v>
      </c>
      <c r="I14" s="3"/>
      <c r="J14" s="65">
        <f>(J13+$C$7)*(1+Rechner!$F$26)</f>
        <v>18713.956526887257</v>
      </c>
      <c r="K14" s="66">
        <f>MAX(0,J13*Rechner!F20*(1-Rechner!F22))</f>
        <v>249.12461847031398</v>
      </c>
      <c r="L14" s="66">
        <f t="shared" si="5"/>
        <v>968.68783347572719</v>
      </c>
      <c r="M14" s="66">
        <f>MAX(0,K14-Rechner!$F$21)*Rechner!$F$25</f>
        <v>0</v>
      </c>
      <c r="N14" s="66">
        <f t="shared" si="7"/>
        <v>0</v>
      </c>
      <c r="O14" s="66">
        <f>J14-L14/(1-Rechner!$F$22)-C14</f>
        <v>2930.1167647790753</v>
      </c>
      <c r="P14" s="66">
        <f>O14*Rechner!$F$25*(1-Rechner!$F$22)</f>
        <v>540.97280769733663</v>
      </c>
      <c r="Q14" s="64">
        <f t="shared" si="6"/>
        <v>18172.983719189921</v>
      </c>
    </row>
    <row r="15" spans="1:18" ht="15.75" customHeight="1" x14ac:dyDescent="0.2">
      <c r="A15" s="56">
        <v>9</v>
      </c>
      <c r="B15" s="57">
        <f t="shared" si="4"/>
        <v>2035</v>
      </c>
      <c r="C15" s="67">
        <f t="shared" si="0"/>
        <v>16200</v>
      </c>
      <c r="D15" s="67">
        <f t="shared" si="1"/>
        <v>540</v>
      </c>
      <c r="E15" s="67">
        <f t="shared" si="1"/>
        <v>0</v>
      </c>
      <c r="F15" s="68">
        <f t="shared" si="2"/>
        <v>27788.327864498333</v>
      </c>
      <c r="G15" s="67">
        <f t="shared" si="2"/>
        <v>6947.0819661245832</v>
      </c>
      <c r="H15" s="69">
        <f t="shared" si="3"/>
        <v>20841.245898373749</v>
      </c>
      <c r="I15" s="3"/>
      <c r="J15" s="62">
        <f>(J14+$C$7)*(1+Rechner!$F$26)</f>
        <v>21703.76600544672</v>
      </c>
      <c r="K15" s="63">
        <f>MAX(0,J14*Rechner!F20*(1-Rechner!F22))</f>
        <v>293.43483834159218</v>
      </c>
      <c r="L15" s="63">
        <f t="shared" si="5"/>
        <v>1262.1226718173193</v>
      </c>
      <c r="M15" s="63">
        <f>MAX(0,K15-Rechner!$F$21)*Rechner!$F$25</f>
        <v>0</v>
      </c>
      <c r="N15" s="63">
        <f t="shared" si="7"/>
        <v>0</v>
      </c>
      <c r="O15" s="63">
        <f>J15-L15/(1-Rechner!$F$22)-C15</f>
        <v>3700.7336171362622</v>
      </c>
      <c r="P15" s="63">
        <f>O15*Rechner!$F$25*(1-Rechner!$F$22)</f>
        <v>683.24794406378237</v>
      </c>
      <c r="Q15" s="64">
        <f t="shared" si="6"/>
        <v>21020.518061382936</v>
      </c>
    </row>
    <row r="16" spans="1:18" ht="15.75" customHeight="1" x14ac:dyDescent="0.2">
      <c r="A16" s="58">
        <v>10</v>
      </c>
      <c r="B16" s="59">
        <f t="shared" si="4"/>
        <v>2036</v>
      </c>
      <c r="C16" s="70">
        <f t="shared" si="0"/>
        <v>18000</v>
      </c>
      <c r="D16" s="70">
        <f t="shared" si="1"/>
        <v>540</v>
      </c>
      <c r="E16" s="70">
        <f t="shared" si="1"/>
        <v>0</v>
      </c>
      <c r="F16" s="71">
        <f t="shared" si="2"/>
        <v>31785.38589704574</v>
      </c>
      <c r="G16" s="70">
        <f t="shared" si="2"/>
        <v>7946.3464742614351</v>
      </c>
      <c r="H16" s="69">
        <f t="shared" si="3"/>
        <v>23839.039422784306</v>
      </c>
      <c r="I16" s="3"/>
      <c r="J16" s="65">
        <f>(J15+$C$7)*(1+Rechner!$F$26)</f>
        <v>24866.984433762631</v>
      </c>
      <c r="K16" s="66">
        <f>MAX(0,J15*Rechner!F20*(1-Rechner!F22))</f>
        <v>340.31505096540457</v>
      </c>
      <c r="L16" s="66">
        <f t="shared" si="5"/>
        <v>1602.437722782724</v>
      </c>
      <c r="M16" s="66">
        <f>MAX(0,K16-Rechner!$F$21)*Rechner!$F$25</f>
        <v>0</v>
      </c>
      <c r="N16" s="66">
        <f t="shared" si="7"/>
        <v>0</v>
      </c>
      <c r="O16" s="66">
        <f>J16-L16/(1-Rechner!$F$22)-C16</f>
        <v>4577.787686930169</v>
      </c>
      <c r="P16" s="66">
        <f>O16*Rechner!$F$25*(1-Rechner!$F$22)</f>
        <v>845.17405169948233</v>
      </c>
      <c r="Q16" s="64">
        <f t="shared" si="6"/>
        <v>24021.810382063148</v>
      </c>
    </row>
    <row r="17" spans="1:17" ht="15.75" customHeight="1" x14ac:dyDescent="0.2">
      <c r="A17" s="56">
        <v>11</v>
      </c>
      <c r="B17" s="57">
        <f t="shared" si="4"/>
        <v>2037</v>
      </c>
      <c r="C17" s="67">
        <f t="shared" si="0"/>
        <v>19800</v>
      </c>
      <c r="D17" s="67">
        <f t="shared" si="1"/>
        <v>540</v>
      </c>
      <c r="E17" s="67">
        <f t="shared" si="1"/>
        <v>0</v>
      </c>
      <c r="F17" s="68">
        <f t="shared" si="2"/>
        <v>36002.28212138325</v>
      </c>
      <c r="G17" s="67">
        <f t="shared" si="2"/>
        <v>9000.5705303458126</v>
      </c>
      <c r="H17" s="69">
        <f t="shared" si="3"/>
        <v>27001.711591037438</v>
      </c>
      <c r="I17" s="3"/>
      <c r="J17" s="62">
        <f>(J16+$C$7)*(1+Rechner!$F$26)</f>
        <v>28213.669530920866</v>
      </c>
      <c r="K17" s="63">
        <f>MAX(0,J16*Rechner!F20*(1-Rechner!F22))</f>
        <v>389.91431592139799</v>
      </c>
      <c r="L17" s="63">
        <f t="shared" si="5"/>
        <v>1992.3520387041219</v>
      </c>
      <c r="M17" s="63">
        <f>MAX(0,K17-Rechner!$F$21)*Rechner!$F$25</f>
        <v>0</v>
      </c>
      <c r="N17" s="63">
        <f t="shared" si="7"/>
        <v>0</v>
      </c>
      <c r="O17" s="63">
        <f>J17-L17/(1-Rechner!$F$22)-C17</f>
        <v>5567.4523327721217</v>
      </c>
      <c r="P17" s="63">
        <f>O17*Rechner!$F$25*(1-Rechner!$F$22)</f>
        <v>1027.890886938053</v>
      </c>
      <c r="Q17" s="64">
        <f t="shared" si="6"/>
        <v>27185.778643982812</v>
      </c>
    </row>
    <row r="18" spans="1:17" ht="15.75" customHeight="1" x14ac:dyDescent="0.2">
      <c r="A18" s="58">
        <v>12</v>
      </c>
      <c r="B18" s="59">
        <f t="shared" si="4"/>
        <v>2038</v>
      </c>
      <c r="C18" s="70">
        <f t="shared" si="0"/>
        <v>21600</v>
      </c>
      <c r="D18" s="70">
        <f t="shared" si="1"/>
        <v>540</v>
      </c>
      <c r="E18" s="70">
        <f t="shared" si="1"/>
        <v>0</v>
      </c>
      <c r="F18" s="71">
        <f t="shared" si="2"/>
        <v>40451.107638059329</v>
      </c>
      <c r="G18" s="70">
        <f t="shared" si="2"/>
        <v>10112.776909514832</v>
      </c>
      <c r="H18" s="69">
        <f t="shared" si="3"/>
        <v>30338.330728544497</v>
      </c>
      <c r="I18" s="3"/>
      <c r="J18" s="65">
        <f>(J17+$C$7)*(1+Rechner!$F$26)</f>
        <v>31754.462363714279</v>
      </c>
      <c r="K18" s="66">
        <f>MAX(0,J17*Rechner!F20*(1-Rechner!F22))</f>
        <v>442.39033824483914</v>
      </c>
      <c r="L18" s="66">
        <f t="shared" si="5"/>
        <v>2434.742376948961</v>
      </c>
      <c r="M18" s="66">
        <f>MAX(0,K18-Rechner!$F$21)*Rechner!$F$25</f>
        <v>0</v>
      </c>
      <c r="N18" s="66">
        <f t="shared" si="7"/>
        <v>0</v>
      </c>
      <c r="O18" s="66">
        <f>J18-L18/(1-Rechner!$F$22)-C18</f>
        <v>6676.258968072907</v>
      </c>
      <c r="P18" s="66">
        <f>O18*Rechner!$F$25*(1-Rechner!$F$22)</f>
        <v>1232.6043119804604</v>
      </c>
      <c r="Q18" s="64">
        <f t="shared" si="6"/>
        <v>30521.85805173382</v>
      </c>
    </row>
    <row r="19" spans="1:17" ht="15.75" customHeight="1" x14ac:dyDescent="0.2">
      <c r="A19" s="56">
        <v>13</v>
      </c>
      <c r="B19" s="57">
        <f t="shared" si="4"/>
        <v>2039</v>
      </c>
      <c r="C19" s="67">
        <f t="shared" si="0"/>
        <v>23400</v>
      </c>
      <c r="D19" s="67">
        <f t="shared" si="1"/>
        <v>540</v>
      </c>
      <c r="E19" s="67">
        <f t="shared" si="1"/>
        <v>0</v>
      </c>
      <c r="F19" s="68">
        <f t="shared" si="2"/>
        <v>45144.618558152593</v>
      </c>
      <c r="G19" s="67">
        <f t="shared" si="2"/>
        <v>11286.154639538148</v>
      </c>
      <c r="H19" s="69">
        <f t="shared" si="3"/>
        <v>33858.463918614449</v>
      </c>
      <c r="I19" s="3"/>
      <c r="J19" s="62">
        <f>(J18+$C$7)*(1+Rechner!$F$26)</f>
        <v>35500.621180809707</v>
      </c>
      <c r="K19" s="63">
        <f>MAX(0,J18*Rechner!F20*(1-Rechner!F22))</f>
        <v>497.90996986303981</v>
      </c>
      <c r="L19" s="63">
        <f t="shared" si="5"/>
        <v>2932.6523468120008</v>
      </c>
      <c r="M19" s="63">
        <f>MAX(0,K19-Rechner!$F$21)*Rechner!$F$25</f>
        <v>0</v>
      </c>
      <c r="N19" s="63">
        <f t="shared" si="7"/>
        <v>0</v>
      </c>
      <c r="O19" s="63">
        <f>J19-L19/(1-Rechner!$F$22)-C19</f>
        <v>7911.1178282211331</v>
      </c>
      <c r="P19" s="63">
        <f>O19*Rechner!$F$25*(1-Rechner!$F$22)</f>
        <v>1460.5901290353263</v>
      </c>
      <c r="Q19" s="64">
        <f t="shared" si="6"/>
        <v>34040.031051774378</v>
      </c>
    </row>
    <row r="20" spans="1:17" ht="15.75" customHeight="1" x14ac:dyDescent="0.2">
      <c r="A20" s="58">
        <v>14</v>
      </c>
      <c r="B20" s="59">
        <f t="shared" si="4"/>
        <v>2040</v>
      </c>
      <c r="C20" s="70">
        <f t="shared" si="0"/>
        <v>25200</v>
      </c>
      <c r="D20" s="70">
        <f t="shared" si="1"/>
        <v>540</v>
      </c>
      <c r="E20" s="70">
        <f t="shared" si="1"/>
        <v>0</v>
      </c>
      <c r="F20" s="71">
        <f t="shared" si="2"/>
        <v>50096.272578850985</v>
      </c>
      <c r="G20" s="70">
        <f t="shared" si="2"/>
        <v>12524.068144712746</v>
      </c>
      <c r="H20" s="69">
        <f t="shared" si="3"/>
        <v>37572.204434138243</v>
      </c>
      <c r="I20" s="3"/>
      <c r="J20" s="65">
        <f>(J19+$C$7)*(1+Rechner!$F$26)</f>
        <v>39464.057209296669</v>
      </c>
      <c r="K20" s="66">
        <f>MAX(0,J19*Rechner!F20*(1-Rechner!F22))</f>
        <v>556.64974011509617</v>
      </c>
      <c r="L20" s="66">
        <f t="shared" si="5"/>
        <v>3489.3020869270968</v>
      </c>
      <c r="M20" s="66">
        <f>MAX(0,K20-Rechner!$F$21)*Rechner!$F$25</f>
        <v>0</v>
      </c>
      <c r="N20" s="66">
        <f t="shared" si="7"/>
        <v>0</v>
      </c>
      <c r="O20" s="66">
        <f>J20-L20/(1-Rechner!$F$22)-C20</f>
        <v>9279.3399422579605</v>
      </c>
      <c r="P20" s="66">
        <f>O20*Rechner!$F$25*(1-Rechner!$F$22)</f>
        <v>1713.1981368393758</v>
      </c>
      <c r="Q20" s="64">
        <f t="shared" si="6"/>
        <v>37750.859072457293</v>
      </c>
    </row>
    <row r="21" spans="1:17" ht="15.75" customHeight="1" x14ac:dyDescent="0.2">
      <c r="A21" s="56">
        <v>15</v>
      </c>
      <c r="B21" s="57">
        <f t="shared" si="4"/>
        <v>2041</v>
      </c>
      <c r="C21" s="67">
        <f t="shared" si="0"/>
        <v>27000</v>
      </c>
      <c r="D21" s="67">
        <f t="shared" si="1"/>
        <v>540</v>
      </c>
      <c r="E21" s="67">
        <f t="shared" si="1"/>
        <v>0</v>
      </c>
      <c r="F21" s="68">
        <f t="shared" si="2"/>
        <v>55320.267570687785</v>
      </c>
      <c r="G21" s="67">
        <f t="shared" si="2"/>
        <v>13830.066892671946</v>
      </c>
      <c r="H21" s="69">
        <f t="shared" si="3"/>
        <v>41490.200678015841</v>
      </c>
      <c r="I21" s="3"/>
      <c r="J21" s="62">
        <f>(J20+$C$7)*(1+Rechner!$F$26)</f>
        <v>43657.37252743588</v>
      </c>
      <c r="K21" s="63">
        <f>MAX(0,J20*Rechner!F20*(1-Rechner!F22))</f>
        <v>618.79641704177175</v>
      </c>
      <c r="L21" s="63">
        <f t="shared" si="5"/>
        <v>4108.0985039688685</v>
      </c>
      <c r="M21" s="63">
        <f>MAX(0,K21-Rechner!$F$21)*Rechner!$F$25</f>
        <v>0</v>
      </c>
      <c r="N21" s="63">
        <f t="shared" si="7"/>
        <v>0</v>
      </c>
      <c r="O21" s="63">
        <f>J21-L21/(1-Rechner!$F$22)-C21</f>
        <v>10788.660378908928</v>
      </c>
      <c r="P21" s="63">
        <f>O21*Rechner!$F$25*(1-Rechner!$F$22)</f>
        <v>1991.8564224560605</v>
      </c>
      <c r="Q21" s="64">
        <f t="shared" si="6"/>
        <v>41665.516104979819</v>
      </c>
    </row>
    <row r="22" spans="1:17" ht="15.75" customHeight="1" x14ac:dyDescent="0.2">
      <c r="A22" s="58">
        <v>16</v>
      </c>
      <c r="B22" s="59">
        <f t="shared" si="4"/>
        <v>2042</v>
      </c>
      <c r="C22" s="70">
        <f t="shared" si="0"/>
        <v>28800</v>
      </c>
      <c r="D22" s="70">
        <f t="shared" si="1"/>
        <v>540</v>
      </c>
      <c r="E22" s="70">
        <f t="shared" si="1"/>
        <v>0</v>
      </c>
      <c r="F22" s="71">
        <f t="shared" si="2"/>
        <v>60831.582287075609</v>
      </c>
      <c r="G22" s="70">
        <f t="shared" si="2"/>
        <v>15207.895571768902</v>
      </c>
      <c r="H22" s="69">
        <f t="shared" si="3"/>
        <v>45623.686715306707</v>
      </c>
      <c r="I22" s="3"/>
      <c r="J22" s="65">
        <f>(J21+$C$7)*(1+Rechner!$F$26)</f>
        <v>48093.900134027164</v>
      </c>
      <c r="K22" s="66">
        <f>MAX(0,J21*Rechner!F20*(1-Rechner!F22))</f>
        <v>684.54760123019457</v>
      </c>
      <c r="L22" s="66">
        <f t="shared" si="5"/>
        <v>4792.6461051990627</v>
      </c>
      <c r="M22" s="66">
        <f>MAX(0,K22-Rechner!$F$21)*Rechner!$F$25</f>
        <v>0</v>
      </c>
      <c r="N22" s="66">
        <f t="shared" si="7"/>
        <v>0</v>
      </c>
      <c r="O22" s="66">
        <f>J22-L22/(1-Rechner!$F$22)-C22</f>
        <v>12447.262840885647</v>
      </c>
      <c r="P22" s="66">
        <f>O22*Rechner!$F$25*(1-Rechner!$F$22)</f>
        <v>2298.0759019985126</v>
      </c>
      <c r="Q22" s="64">
        <f t="shared" si="6"/>
        <v>45795.824232028652</v>
      </c>
    </row>
    <row r="23" spans="1:17" ht="15.75" customHeight="1" x14ac:dyDescent="0.2">
      <c r="A23" s="56">
        <v>17</v>
      </c>
      <c r="B23" s="57">
        <f t="shared" si="4"/>
        <v>2043</v>
      </c>
      <c r="C23" s="67">
        <f t="shared" si="0"/>
        <v>30600</v>
      </c>
      <c r="D23" s="67">
        <f t="shared" si="1"/>
        <v>540</v>
      </c>
      <c r="E23" s="67">
        <f t="shared" si="1"/>
        <v>0</v>
      </c>
      <c r="F23" s="68">
        <f t="shared" si="2"/>
        <v>66646.019312864766</v>
      </c>
      <c r="G23" s="67">
        <f t="shared" si="2"/>
        <v>16661.504828216192</v>
      </c>
      <c r="H23" s="69">
        <f t="shared" si="3"/>
        <v>49984.514484648578</v>
      </c>
      <c r="I23" s="3"/>
      <c r="J23" s="62">
        <f>(J22+$C$7)*(1+Rechner!$F$26)</f>
        <v>52787.746341800739</v>
      </c>
      <c r="K23" s="63">
        <f>MAX(0,J22*Rechner!F20*(1-Rechner!F22))</f>
        <v>754.11235410154586</v>
      </c>
      <c r="L23" s="63">
        <f t="shared" si="5"/>
        <v>5546.7584593006086</v>
      </c>
      <c r="M23" s="63">
        <f>MAX(0,K23-Rechner!$F$21)*Rechner!$F$25</f>
        <v>0</v>
      </c>
      <c r="N23" s="63">
        <f t="shared" si="7"/>
        <v>0</v>
      </c>
      <c r="O23" s="63">
        <f>J23-L23/(1-Rechner!$F$22)-C23</f>
        <v>14263.805685657011</v>
      </c>
      <c r="P23" s="63">
        <f>O23*Rechner!$F$25*(1-Rechner!$F$22)</f>
        <v>2633.4551247144254</v>
      </c>
      <c r="Q23" s="64">
        <f t="shared" si="6"/>
        <v>50154.291217086313</v>
      </c>
    </row>
    <row r="24" spans="1:17" ht="15.75" customHeight="1" x14ac:dyDescent="0.2">
      <c r="A24" s="58">
        <v>18</v>
      </c>
      <c r="B24" s="59">
        <f t="shared" si="4"/>
        <v>2044</v>
      </c>
      <c r="C24" s="70">
        <f t="shared" si="0"/>
        <v>32400</v>
      </c>
      <c r="D24" s="70">
        <f t="shared" si="1"/>
        <v>540</v>
      </c>
      <c r="E24" s="70">
        <f t="shared" si="1"/>
        <v>0</v>
      </c>
      <c r="F24" s="71">
        <f t="shared" si="2"/>
        <v>72780.250375072326</v>
      </c>
      <c r="G24" s="70">
        <f t="shared" si="2"/>
        <v>18195.062593768082</v>
      </c>
      <c r="H24" s="69">
        <f t="shared" si="3"/>
        <v>54585.187781304245</v>
      </c>
      <c r="I24" s="3"/>
      <c r="J24" s="65">
        <f>(J23+$C$7)*(1+Rechner!$F$26)</f>
        <v>57753.835629625188</v>
      </c>
      <c r="K24" s="66">
        <f>MAX(0,J23*Rechner!F20*(1-Rechner!F22))</f>
        <v>827.71186263943559</v>
      </c>
      <c r="L24" s="66">
        <f t="shared" si="5"/>
        <v>6374.4703219400444</v>
      </c>
      <c r="M24" s="66">
        <f>MAX(0,K24-Rechner!$F$21)*Rechner!$F$25</f>
        <v>0</v>
      </c>
      <c r="N24" s="66">
        <f t="shared" si="7"/>
        <v>0</v>
      </c>
      <c r="O24" s="66">
        <f>J24-L24/(1-Rechner!$F$22)-C24</f>
        <v>16247.449455425121</v>
      </c>
      <c r="P24" s="66">
        <f>O24*Rechner!$F$25*(1-Rechner!$F$22)</f>
        <v>2999.685355707863</v>
      </c>
      <c r="Q24" s="64">
        <f t="shared" si="6"/>
        <v>54754.150273917323</v>
      </c>
    </row>
    <row r="25" spans="1:17" ht="15.75" customHeight="1" x14ac:dyDescent="0.2">
      <c r="A25" s="56">
        <v>19</v>
      </c>
      <c r="B25" s="57">
        <f t="shared" si="4"/>
        <v>2045</v>
      </c>
      <c r="C25" s="67">
        <f t="shared" si="0"/>
        <v>34200</v>
      </c>
      <c r="D25" s="67">
        <f t="shared" si="1"/>
        <v>540</v>
      </c>
      <c r="E25" s="67">
        <f t="shared" si="1"/>
        <v>0</v>
      </c>
      <c r="F25" s="68">
        <f t="shared" si="2"/>
        <v>79251.8641457013</v>
      </c>
      <c r="G25" s="67">
        <f t="shared" si="2"/>
        <v>19812.966036425325</v>
      </c>
      <c r="H25" s="69">
        <f t="shared" si="3"/>
        <v>59438.898109275979</v>
      </c>
      <c r="I25" s="3"/>
      <c r="J25" s="62">
        <f>(J24+$C$7)*(1+Rechner!$F$26)</f>
        <v>63007.958096143455</v>
      </c>
      <c r="K25" s="63">
        <f>MAX(0,J24*Rechner!F20*(1-Rechner!F22))</f>
        <v>905.58014267252281</v>
      </c>
      <c r="L25" s="63">
        <f>L24+K25</f>
        <v>7280.0504646125673</v>
      </c>
      <c r="M25" s="63">
        <f>MAX(0,K25-Rechner!$F$21)*Rechner!$F$25</f>
        <v>0</v>
      </c>
      <c r="N25" s="63">
        <f t="shared" si="7"/>
        <v>0</v>
      </c>
      <c r="O25" s="63">
        <f>J25-L25/(1-Rechner!$F$22)-C25</f>
        <v>18407.886003839783</v>
      </c>
      <c r="P25" s="63">
        <f>O25*Rechner!$F$25*(1-Rechner!$F$22)</f>
        <v>3398.5559534589192</v>
      </c>
      <c r="Q25" s="64">
        <f t="shared" si="6"/>
        <v>59609.402142684536</v>
      </c>
    </row>
    <row r="26" spans="1:17" ht="15.75" customHeight="1" x14ac:dyDescent="0.2">
      <c r="A26" s="58">
        <v>20</v>
      </c>
      <c r="B26" s="59">
        <f t="shared" si="4"/>
        <v>2046</v>
      </c>
      <c r="C26" s="70">
        <f t="shared" si="0"/>
        <v>36000</v>
      </c>
      <c r="D26" s="70">
        <f t="shared" si="1"/>
        <v>540</v>
      </c>
      <c r="E26" s="70">
        <f t="shared" si="1"/>
        <v>0</v>
      </c>
      <c r="F26" s="71">
        <f t="shared" si="2"/>
        <v>86079.416673714863</v>
      </c>
      <c r="G26" s="70">
        <f t="shared" si="2"/>
        <v>21519.854168428716</v>
      </c>
      <c r="H26" s="69">
        <f t="shared" si="3"/>
        <v>64559.562505286143</v>
      </c>
      <c r="I26" s="3"/>
      <c r="J26" s="65">
        <f>(J25+$C$7)*(1+Rechner!$F$26)</f>
        <v>68566.819665719784</v>
      </c>
      <c r="K26" s="66">
        <f>MAX(0,J25*Rechner!F20*(1-Rechner!F22))</f>
        <v>987.96478294752933</v>
      </c>
      <c r="L26" s="66">
        <f t="shared" si="5"/>
        <v>8268.0152475600971</v>
      </c>
      <c r="M26" s="66">
        <f>MAX(0,K26-Rechner!$F$21)*Rechner!$F$25</f>
        <v>0</v>
      </c>
      <c r="N26" s="66">
        <f t="shared" si="7"/>
        <v>0</v>
      </c>
      <c r="O26" s="66">
        <f>J26-L26/(1-Rechner!$F$22)-C26</f>
        <v>20755.369312062503</v>
      </c>
      <c r="P26" s="66">
        <f>O26*Rechner!$F$25*(1-Rechner!$F$22)</f>
        <v>3831.9600592395386</v>
      </c>
      <c r="Q26" s="64">
        <f t="shared" si="6"/>
        <v>64734.859606480248</v>
      </c>
    </row>
    <row r="27" spans="1:17" ht="15.75" customHeight="1" x14ac:dyDescent="0.2">
      <c r="A27" s="56">
        <v>21</v>
      </c>
      <c r="B27" s="57">
        <f t="shared" si="4"/>
        <v>2047</v>
      </c>
      <c r="C27" s="67">
        <f t="shared" si="0"/>
        <v>37800</v>
      </c>
      <c r="D27" s="67">
        <f t="shared" ref="D27:E46" si="8">D73</f>
        <v>540</v>
      </c>
      <c r="E27" s="67">
        <f t="shared" si="8"/>
        <v>0</v>
      </c>
      <c r="F27" s="68">
        <f t="shared" ref="F27:G46" si="9">F73+F119</f>
        <v>93282.484590769178</v>
      </c>
      <c r="G27" s="67">
        <f t="shared" si="9"/>
        <v>23320.621147692294</v>
      </c>
      <c r="H27" s="69">
        <f t="shared" si="3"/>
        <v>69961.863443076887</v>
      </c>
      <c r="I27" s="3"/>
      <c r="J27" s="62">
        <f>(J26+$C$7)*(1+Rechner!$F$26)</f>
        <v>74448.095206331534</v>
      </c>
      <c r="K27" s="63">
        <f>MAX(0,J26*Rechner!F20*(1-Rechner!F22))</f>
        <v>1075.1277323584861</v>
      </c>
      <c r="L27" s="63">
        <f t="shared" si="5"/>
        <v>9343.1429799185826</v>
      </c>
      <c r="M27" s="63">
        <f>MAX(0,K27-Rechner!$F$21)*Rechner!$F$25</f>
        <v>19.814939409550714</v>
      </c>
      <c r="N27" s="63">
        <f t="shared" si="7"/>
        <v>19.814939409550714</v>
      </c>
      <c r="O27" s="63">
        <f>J27-L27/(1-Rechner!$F$22)-C27</f>
        <v>23300.748092162132</v>
      </c>
      <c r="P27" s="63">
        <f>O27*Rechner!$F$25*(1-Rechner!$F$22)</f>
        <v>4301.9006165154333</v>
      </c>
      <c r="Q27" s="64">
        <f t="shared" si="6"/>
        <v>70146.194589816107</v>
      </c>
    </row>
    <row r="28" spans="1:17" ht="15.75" customHeight="1" x14ac:dyDescent="0.2">
      <c r="A28" s="58">
        <v>22</v>
      </c>
      <c r="B28" s="59">
        <f t="shared" si="4"/>
        <v>2048</v>
      </c>
      <c r="C28" s="70">
        <f t="shared" si="0"/>
        <v>39600</v>
      </c>
      <c r="D28" s="70">
        <f t="shared" si="8"/>
        <v>540</v>
      </c>
      <c r="E28" s="70">
        <f t="shared" si="8"/>
        <v>0</v>
      </c>
      <c r="F28" s="71">
        <f t="shared" si="9"/>
        <v>100881.72124326148</v>
      </c>
      <c r="G28" s="70">
        <f t="shared" si="9"/>
        <v>25220.430310815369</v>
      </c>
      <c r="H28" s="69">
        <f t="shared" si="3"/>
        <v>75661.290932446107</v>
      </c>
      <c r="I28" s="3"/>
      <c r="J28" s="65">
        <f>(J27+$C$7)*(1+Rechner!$F$26)</f>
        <v>80670.484728298761</v>
      </c>
      <c r="K28" s="66">
        <f>MAX(0,J27*Rechner!F20*(1-Rechner!F22))</f>
        <v>1167.3461328352782</v>
      </c>
      <c r="L28" s="66">
        <f t="shared" si="5"/>
        <v>10510.489112753861</v>
      </c>
      <c r="M28" s="66">
        <f>MAX(0,K28-Rechner!$F$21)*Rechner!$F$25</f>
        <v>44.137542535304632</v>
      </c>
      <c r="N28" s="66">
        <f t="shared" si="7"/>
        <v>63.95248194485535</v>
      </c>
      <c r="O28" s="66">
        <f>J28-L28/(1-Rechner!$F$22)-C28</f>
        <v>26055.500281507528</v>
      </c>
      <c r="P28" s="66">
        <f>O28*Rechner!$F$25*(1-Rechner!$F$22)</f>
        <v>4810.4967394733267</v>
      </c>
      <c r="Q28" s="64">
        <f t="shared" si="6"/>
        <v>75859.987988825436</v>
      </c>
    </row>
    <row r="29" spans="1:17" ht="15.75" customHeight="1" x14ac:dyDescent="0.2">
      <c r="A29" s="56">
        <v>23</v>
      </c>
      <c r="B29" s="57">
        <f t="shared" si="4"/>
        <v>2049</v>
      </c>
      <c r="C29" s="67">
        <f t="shared" si="0"/>
        <v>41400</v>
      </c>
      <c r="D29" s="67">
        <f t="shared" si="8"/>
        <v>540</v>
      </c>
      <c r="E29" s="67">
        <f t="shared" si="8"/>
        <v>0</v>
      </c>
      <c r="F29" s="68">
        <f t="shared" si="9"/>
        <v>108898.91591164086</v>
      </c>
      <c r="G29" s="67">
        <f t="shared" si="9"/>
        <v>27224.728977910214</v>
      </c>
      <c r="H29" s="69">
        <f t="shared" si="3"/>
        <v>81674.186933730642</v>
      </c>
      <c r="I29" s="3"/>
      <c r="J29" s="62">
        <f>(J28+$C$7)*(1+Rechner!$F$26)</f>
        <v>87253.7728425401</v>
      </c>
      <c r="K29" s="63">
        <f>MAX(0,J28*Rechner!F20*(1-Rechner!F22))</f>
        <v>1264.9132005397244</v>
      </c>
      <c r="L29" s="63">
        <f t="shared" si="5"/>
        <v>11775.402313293585</v>
      </c>
      <c r="M29" s="63">
        <f>MAX(0,K29-Rechner!$F$21)*Rechner!$F$25</f>
        <v>69.870856642352294</v>
      </c>
      <c r="N29" s="63">
        <f t="shared" si="7"/>
        <v>133.82333858720764</v>
      </c>
      <c r="O29" s="63">
        <f>J29-L29/(1-Rechner!$F$22)-C29</f>
        <v>29031.769537834974</v>
      </c>
      <c r="P29" s="63">
        <f>O29*Rechner!$F$25*(1-Rechner!$F$22)</f>
        <v>5359.9904509227817</v>
      </c>
      <c r="Q29" s="64">
        <f t="shared" si="6"/>
        <v>81893.782391617322</v>
      </c>
    </row>
    <row r="30" spans="1:17" ht="15.75" customHeight="1" x14ac:dyDescent="0.2">
      <c r="A30" s="58">
        <v>24</v>
      </c>
      <c r="B30" s="59">
        <f t="shared" si="4"/>
        <v>2050</v>
      </c>
      <c r="C30" s="70">
        <f t="shared" si="0"/>
        <v>43200</v>
      </c>
      <c r="D30" s="70">
        <f t="shared" si="8"/>
        <v>540</v>
      </c>
      <c r="E30" s="70">
        <f t="shared" si="8"/>
        <v>0</v>
      </c>
      <c r="F30" s="71">
        <f t="shared" si="9"/>
        <v>117357.05628678109</v>
      </c>
      <c r="G30" s="70">
        <f t="shared" si="9"/>
        <v>29339.264071695274</v>
      </c>
      <c r="H30" s="69">
        <f t="shared" si="3"/>
        <v>88017.792215085821</v>
      </c>
      <c r="I30" s="3"/>
      <c r="J30" s="65">
        <f>(J29+$C$7)*(1+Rechner!$F$26)</f>
        <v>94218.891667407428</v>
      </c>
      <c r="K30" s="66">
        <f>MAX(0,J29*Rechner!F20*(1-Rechner!F22))</f>
        <v>1368.1391581710286</v>
      </c>
      <c r="L30" s="66">
        <f t="shared" si="5"/>
        <v>13143.541471464614</v>
      </c>
      <c r="M30" s="66">
        <f>MAX(0,K30-Rechner!$F$21)*Rechner!$F$25</f>
        <v>97.096702967608792</v>
      </c>
      <c r="N30" s="66">
        <f t="shared" si="7"/>
        <v>230.92004155481644</v>
      </c>
      <c r="O30" s="66">
        <f>J30-L30/(1-Rechner!$F$22)-C30</f>
        <v>32242.403851029405</v>
      </c>
      <c r="P30" s="66">
        <f>O30*Rechner!$F$25*(1-Rechner!$F$22)</f>
        <v>5952.7538109963025</v>
      </c>
      <c r="Q30" s="64">
        <f t="shared" si="6"/>
        <v>88266.137856411122</v>
      </c>
    </row>
    <row r="31" spans="1:17" ht="15.75" customHeight="1" x14ac:dyDescent="0.2">
      <c r="A31" s="56">
        <v>25</v>
      </c>
      <c r="B31" s="57">
        <f t="shared" si="4"/>
        <v>2051</v>
      </c>
      <c r="C31" s="67">
        <f t="shared" si="0"/>
        <v>45000</v>
      </c>
      <c r="D31" s="67">
        <f t="shared" si="8"/>
        <v>540</v>
      </c>
      <c r="E31" s="67">
        <f t="shared" si="8"/>
        <v>0</v>
      </c>
      <c r="F31" s="68">
        <f t="shared" si="9"/>
        <v>126280.39438255405</v>
      </c>
      <c r="G31" s="67">
        <f t="shared" si="9"/>
        <v>31570.098595638512</v>
      </c>
      <c r="H31" s="69">
        <f t="shared" si="3"/>
        <v>94710.295786915536</v>
      </c>
      <c r="I31" s="3"/>
      <c r="J31" s="62">
        <f>(J30+$C$7)*(1+Rechner!$F$26)</f>
        <v>101587.98738411706</v>
      </c>
      <c r="K31" s="63">
        <f>MAX(0,J30*Rechner!F20*(1-Rechner!F22))</f>
        <v>1477.3522213449482</v>
      </c>
      <c r="L31" s="63">
        <f t="shared" si="5"/>
        <v>14620.893692809563</v>
      </c>
      <c r="M31" s="63">
        <f>MAX(0,K31-Rechner!$F$21)*Rechner!$F$25</f>
        <v>125.90164837973009</v>
      </c>
      <c r="N31" s="63">
        <f t="shared" si="7"/>
        <v>356.8216899345465</v>
      </c>
      <c r="O31" s="63">
        <f>J31-L31/(1-Rechner!$F$22)-C31</f>
        <v>35700.99639438912</v>
      </c>
      <c r="P31" s="63">
        <f>O31*Rechner!$F$25*(1-Rechner!$F$22)</f>
        <v>6591.2964593140896</v>
      </c>
      <c r="Q31" s="64">
        <f t="shared" si="6"/>
        <v>94996.69092480297</v>
      </c>
    </row>
    <row r="32" spans="1:17" ht="15.75" customHeight="1" x14ac:dyDescent="0.2">
      <c r="A32" s="58">
        <v>26</v>
      </c>
      <c r="B32" s="59">
        <f t="shared" si="4"/>
        <v>2052</v>
      </c>
      <c r="C32" s="70">
        <f t="shared" si="0"/>
        <v>46800</v>
      </c>
      <c r="D32" s="70">
        <f t="shared" si="8"/>
        <v>540</v>
      </c>
      <c r="E32" s="70">
        <f t="shared" si="8"/>
        <v>0</v>
      </c>
      <c r="F32" s="71">
        <f t="shared" si="9"/>
        <v>135694.51607359451</v>
      </c>
      <c r="G32" s="70">
        <f t="shared" si="9"/>
        <v>33923.629018398628</v>
      </c>
      <c r="H32" s="69">
        <f t="shared" si="3"/>
        <v>101770.88705519588</v>
      </c>
      <c r="I32" s="3"/>
      <c r="J32" s="65">
        <f>(J31+$C$7)*(1+Rechner!$F$26)</f>
        <v>109384.49065239586</v>
      </c>
      <c r="K32" s="66">
        <f>MAX(0,J31*Rechner!F20*(1-Rechner!F22))</f>
        <v>1592.8996421829554</v>
      </c>
      <c r="L32" s="66">
        <f t="shared" si="5"/>
        <v>16213.793334992519</v>
      </c>
      <c r="M32" s="66">
        <f>MAX(0,K32-Rechner!$F$21)*Rechner!$F$25</f>
        <v>156.37728062575448</v>
      </c>
      <c r="N32" s="66">
        <f t="shared" si="7"/>
        <v>513.19897056030095</v>
      </c>
      <c r="O32" s="66">
        <f>J32-L32/(1-Rechner!$F$22)-C32</f>
        <v>39421.928745263693</v>
      </c>
      <c r="P32" s="66">
        <f>O32*Rechner!$F$25*(1-Rechner!$F$22)</f>
        <v>7278.2735945943077</v>
      </c>
      <c r="Q32" s="64">
        <f t="shared" si="6"/>
        <v>102106.21705780155</v>
      </c>
    </row>
    <row r="33" spans="1:17" ht="15.75" customHeight="1" x14ac:dyDescent="0.2">
      <c r="A33" s="56">
        <v>27</v>
      </c>
      <c r="B33" s="57">
        <f t="shared" si="4"/>
        <v>2053</v>
      </c>
      <c r="C33" s="67">
        <f t="shared" si="0"/>
        <v>48600</v>
      </c>
      <c r="D33" s="67">
        <f t="shared" si="8"/>
        <v>540</v>
      </c>
      <c r="E33" s="67">
        <f t="shared" si="8"/>
        <v>0</v>
      </c>
      <c r="F33" s="68">
        <f t="shared" si="9"/>
        <v>145626.41445764221</v>
      </c>
      <c r="G33" s="67">
        <f t="shared" si="9"/>
        <v>36406.603614410553</v>
      </c>
      <c r="H33" s="69">
        <f t="shared" si="3"/>
        <v>109219.81084323165</v>
      </c>
      <c r="I33" s="3"/>
      <c r="J33" s="62">
        <f>(J32+$C$7)*(1+Rechner!$F$26)</f>
        <v>117633.19111023482</v>
      </c>
      <c r="K33" s="63">
        <f>MAX(0,J32*Rechner!F20*(1-Rechner!F22))</f>
        <v>1715.1488134295669</v>
      </c>
      <c r="L33" s="63">
        <f t="shared" si="5"/>
        <v>17928.942148422087</v>
      </c>
      <c r="M33" s="63">
        <f>MAX(0,K33-Rechner!$F$21)*Rechner!$F$25</f>
        <v>188.62049954204826</v>
      </c>
      <c r="N33" s="63">
        <f t="shared" si="7"/>
        <v>701.81947010234921</v>
      </c>
      <c r="O33" s="63">
        <f>J33-L33/(1-Rechner!$F$22)-C33</f>
        <v>43420.416612488974</v>
      </c>
      <c r="P33" s="63">
        <f>O33*Rechner!$F$25*(1-Rechner!$F$22)</f>
        <v>8016.4944170807767</v>
      </c>
      <c r="Q33" s="64">
        <f t="shared" si="6"/>
        <v>109616.69669315405</v>
      </c>
    </row>
    <row r="34" spans="1:17" ht="15.75" customHeight="1" x14ac:dyDescent="0.2">
      <c r="A34" s="58">
        <v>28</v>
      </c>
      <c r="B34" s="59">
        <f t="shared" si="4"/>
        <v>2054</v>
      </c>
      <c r="C34" s="70">
        <f t="shared" si="0"/>
        <v>50400</v>
      </c>
      <c r="D34" s="70">
        <f t="shared" si="8"/>
        <v>540</v>
      </c>
      <c r="E34" s="70">
        <f t="shared" si="8"/>
        <v>0</v>
      </c>
      <c r="F34" s="71">
        <f t="shared" si="9"/>
        <v>156104.56725281253</v>
      </c>
      <c r="G34" s="70">
        <f t="shared" si="9"/>
        <v>39026.141813203132</v>
      </c>
      <c r="H34" s="69">
        <f t="shared" si="3"/>
        <v>117078.42543960939</v>
      </c>
      <c r="I34" s="3"/>
      <c r="J34" s="65">
        <f>(J33+$C$7)*(1+Rechner!$F$26)</f>
        <v>126360.31619462845</v>
      </c>
      <c r="K34" s="66">
        <f>MAX(0,J33*Rechner!F20*(1-Rechner!F22))</f>
        <v>1844.4884366084818</v>
      </c>
      <c r="L34" s="66">
        <f t="shared" si="5"/>
        <v>19773.430585030568</v>
      </c>
      <c r="M34" s="66">
        <f>MAX(0,K34-Rechner!$F$21)*Rechner!$F$25</f>
        <v>222.73382515548707</v>
      </c>
      <c r="N34" s="66">
        <f t="shared" si="7"/>
        <v>924.55329525783623</v>
      </c>
      <c r="O34" s="66">
        <f>J34-L34/(1-Rechner!$F$22)-C34</f>
        <v>47712.558216013349</v>
      </c>
      <c r="P34" s="66">
        <f>O34*Rechner!$F$25*(1-Rechner!$F$22)</f>
        <v>8808.931060631463</v>
      </c>
      <c r="Q34" s="64">
        <f t="shared" si="6"/>
        <v>117551.38513399698</v>
      </c>
    </row>
    <row r="35" spans="1:17" ht="15.75" customHeight="1" x14ac:dyDescent="0.2">
      <c r="A35" s="56">
        <v>29</v>
      </c>
      <c r="B35" s="57">
        <f t="shared" si="4"/>
        <v>2055</v>
      </c>
      <c r="C35" s="67">
        <f t="shared" si="0"/>
        <v>52200</v>
      </c>
      <c r="D35" s="67">
        <f t="shared" si="8"/>
        <v>540</v>
      </c>
      <c r="E35" s="67">
        <f t="shared" si="8"/>
        <v>0</v>
      </c>
      <c r="F35" s="68">
        <f t="shared" si="9"/>
        <v>167159.01845171722</v>
      </c>
      <c r="G35" s="67">
        <f t="shared" si="9"/>
        <v>41789.754612929304</v>
      </c>
      <c r="H35" s="69">
        <f t="shared" si="3"/>
        <v>125369.26383878791</v>
      </c>
      <c r="I35" s="3"/>
      <c r="J35" s="62">
        <f>(J34+$C$7)*(1+Rechner!$F$26)</f>
        <v>135593.6145339169</v>
      </c>
      <c r="K35" s="63">
        <f>MAX(0,J34*Rechner!F20*(1-Rechner!F22))</f>
        <v>1981.3297579317739</v>
      </c>
      <c r="L35" s="63">
        <f t="shared" si="5"/>
        <v>21754.760342962341</v>
      </c>
      <c r="M35" s="63">
        <f>MAX(0,K35-Rechner!$F$21)*Rechner!$F$25</f>
        <v>258.82572365450534</v>
      </c>
      <c r="N35" s="63">
        <f t="shared" si="7"/>
        <v>1183.3790189123415</v>
      </c>
      <c r="O35" s="63">
        <f>J35-L35/(1-Rechner!$F$22)-C35</f>
        <v>52315.385472542126</v>
      </c>
      <c r="P35" s="63">
        <f>O35*Rechner!$F$25*(1-Rechner!$F$22)</f>
        <v>9658.7280428680897</v>
      </c>
      <c r="Q35" s="64">
        <f t="shared" si="6"/>
        <v>125934.88649104882</v>
      </c>
    </row>
    <row r="36" spans="1:17" ht="15.75" customHeight="1" x14ac:dyDescent="0.2">
      <c r="A36" s="58">
        <v>30</v>
      </c>
      <c r="B36" s="59">
        <f t="shared" si="4"/>
        <v>2056</v>
      </c>
      <c r="C36" s="70">
        <f t="shared" si="0"/>
        <v>54000</v>
      </c>
      <c r="D36" s="70">
        <f t="shared" si="8"/>
        <v>540</v>
      </c>
      <c r="E36" s="70">
        <f t="shared" si="8"/>
        <v>0</v>
      </c>
      <c r="F36" s="71">
        <f t="shared" si="9"/>
        <v>178821.46446656165</v>
      </c>
      <c r="G36" s="70">
        <f t="shared" si="9"/>
        <v>44705.366116640413</v>
      </c>
      <c r="H36" s="69">
        <f t="shared" si="3"/>
        <v>134116.09834992123</v>
      </c>
      <c r="I36" s="3"/>
      <c r="J36" s="65">
        <f>(J35+$C$7)*(1+Rechner!$F$26)</f>
        <v>145362.44417688408</v>
      </c>
      <c r="K36" s="66">
        <f>MAX(0,J35*Rechner!F20*(1-Rechner!F22))</f>
        <v>2126.107875891817</v>
      </c>
      <c r="L36" s="66">
        <f t="shared" si="5"/>
        <v>23880.868218854157</v>
      </c>
      <c r="M36" s="66">
        <f>MAX(0,K36-Rechner!$F$21)*Rechner!$F$25</f>
        <v>297.01095226646675</v>
      </c>
      <c r="N36" s="66">
        <f t="shared" si="7"/>
        <v>1480.3899711788083</v>
      </c>
      <c r="O36" s="66">
        <f>J36-L36/(1-Rechner!$F$22)-C36</f>
        <v>57246.918149949575</v>
      </c>
      <c r="P36" s="66">
        <f>O36*Rechner!$F$25*(1-Rechner!$F$22)</f>
        <v>10569.21226343444</v>
      </c>
      <c r="Q36" s="64">
        <f t="shared" si="6"/>
        <v>134793.23191344965</v>
      </c>
    </row>
    <row r="37" spans="1:17" ht="15.75" customHeight="1" x14ac:dyDescent="0.2">
      <c r="A37" s="56">
        <v>31</v>
      </c>
      <c r="B37" s="57">
        <f t="shared" si="4"/>
        <v>2057</v>
      </c>
      <c r="C37" s="67">
        <f t="shared" si="0"/>
        <v>55800</v>
      </c>
      <c r="D37" s="67">
        <f t="shared" si="8"/>
        <v>540</v>
      </c>
      <c r="E37" s="67">
        <f t="shared" si="8"/>
        <v>0</v>
      </c>
      <c r="F37" s="68">
        <f t="shared" si="9"/>
        <v>191125.34501222253</v>
      </c>
      <c r="G37" s="67">
        <f t="shared" si="9"/>
        <v>47781.336253055633</v>
      </c>
      <c r="H37" s="69">
        <f t="shared" si="3"/>
        <v>143344.0087591669</v>
      </c>
      <c r="I37" s="3"/>
      <c r="J37" s="62">
        <f>(J36+$C$7)*(1+Rechner!$F$26)</f>
        <v>155697.86593914335</v>
      </c>
      <c r="K37" s="63">
        <f>MAX(0,J36*Rechner!F20*(1-Rechner!F22))</f>
        <v>2279.283124693542</v>
      </c>
      <c r="L37" s="63">
        <f t="shared" si="5"/>
        <v>26160.151343547699</v>
      </c>
      <c r="M37" s="63">
        <f>MAX(0,K37-Rechner!$F$21)*Rechner!$F$25</f>
        <v>337.41092413792171</v>
      </c>
      <c r="N37" s="63">
        <f t="shared" si="7"/>
        <v>1817.80089531673</v>
      </c>
      <c r="O37" s="63">
        <f>J37-L37/(1-Rechner!$F$22)-C37</f>
        <v>62526.221162646631</v>
      </c>
      <c r="P37" s="63">
        <f>O37*Rechner!$F$25*(1-Rechner!$F$22)</f>
        <v>11543.903582153631</v>
      </c>
      <c r="Q37" s="64">
        <f t="shared" si="6"/>
        <v>144153.96235698971</v>
      </c>
    </row>
    <row r="38" spans="1:17" ht="15.75" customHeight="1" x14ac:dyDescent="0.2">
      <c r="A38" s="58">
        <v>32</v>
      </c>
      <c r="B38" s="59">
        <f t="shared" si="4"/>
        <v>2058</v>
      </c>
      <c r="C38" s="70">
        <f t="shared" si="0"/>
        <v>57600</v>
      </c>
      <c r="D38" s="70">
        <f t="shared" si="8"/>
        <v>540</v>
      </c>
      <c r="E38" s="70">
        <f t="shared" si="8"/>
        <v>0</v>
      </c>
      <c r="F38" s="71">
        <f t="shared" si="9"/>
        <v>204105.93898789477</v>
      </c>
      <c r="G38" s="70">
        <f t="shared" si="9"/>
        <v>51026.484746973692</v>
      </c>
      <c r="H38" s="69">
        <f t="shared" si="3"/>
        <v>153079.45424092107</v>
      </c>
      <c r="I38" s="3"/>
      <c r="J38" s="65">
        <f>(J37+$C$7)*(1+Rechner!$F$26)</f>
        <v>166632.74216361367</v>
      </c>
      <c r="K38" s="66">
        <f>MAX(0,J37*Rechner!F20*(1-Rechner!F22))</f>
        <v>2441.3425379257674</v>
      </c>
      <c r="L38" s="66">
        <f t="shared" si="5"/>
        <v>28601.493881473467</v>
      </c>
      <c r="M38" s="66">
        <f>MAX(0,K38-Rechner!$F$21)*Rechner!$F$25</f>
        <v>380.15409437792113</v>
      </c>
      <c r="N38" s="66">
        <f t="shared" si="7"/>
        <v>2197.954989694651</v>
      </c>
      <c r="O38" s="66">
        <f>J38-L38/(1-Rechner!$F$22)-C38</f>
        <v>68173.46519008014</v>
      </c>
      <c r="P38" s="66">
        <f>O38*Rechner!$F$25*(1-Rechner!$F$22)</f>
        <v>12586.526010718546</v>
      </c>
      <c r="Q38" s="64">
        <f t="shared" si="6"/>
        <v>154046.21615289513</v>
      </c>
    </row>
    <row r="39" spans="1:17" ht="15.75" customHeight="1" x14ac:dyDescent="0.2">
      <c r="A39" s="56">
        <v>33</v>
      </c>
      <c r="B39" s="57">
        <f t="shared" si="4"/>
        <v>2059</v>
      </c>
      <c r="C39" s="67">
        <f t="shared" si="0"/>
        <v>59400</v>
      </c>
      <c r="D39" s="67">
        <f t="shared" si="8"/>
        <v>540</v>
      </c>
      <c r="E39" s="67">
        <f t="shared" si="8"/>
        <v>0</v>
      </c>
      <c r="F39" s="68">
        <f t="shared" si="9"/>
        <v>217800.46563222897</v>
      </c>
      <c r="G39" s="67">
        <f t="shared" si="9"/>
        <v>54450.116408057242</v>
      </c>
      <c r="H39" s="69">
        <f t="shared" si="3"/>
        <v>163350.34922417172</v>
      </c>
      <c r="I39" s="3"/>
      <c r="J39" s="62">
        <f>(J38+$C$7)*(1+Rechner!$F$26)</f>
        <v>178201.84120910327</v>
      </c>
      <c r="K39" s="63">
        <f>MAX(0,J38*Rechner!F20*(1-Rechner!F22))</f>
        <v>2612.8013971254622</v>
      </c>
      <c r="L39" s="63">
        <f t="shared" si="5"/>
        <v>31214.295278598929</v>
      </c>
      <c r="M39" s="63">
        <f>MAX(0,K39-Rechner!$F$21)*Rechner!$F$25</f>
        <v>425.37636849184065</v>
      </c>
      <c r="N39" s="63">
        <f t="shared" si="7"/>
        <v>2623.3313581864918</v>
      </c>
      <c r="O39" s="63">
        <f>J39-L39/(1-Rechner!$F$22)-C39</f>
        <v>74209.990811104799</v>
      </c>
      <c r="P39" s="63">
        <f>O39*Rechner!$F$25*(1-Rechner!$F$22)</f>
        <v>13701.019553500222</v>
      </c>
      <c r="Q39" s="64">
        <f t="shared" si="6"/>
        <v>164500.82165560304</v>
      </c>
    </row>
    <row r="40" spans="1:17" ht="15.75" customHeight="1" x14ac:dyDescent="0.2">
      <c r="A40" s="58">
        <v>34</v>
      </c>
      <c r="B40" s="59">
        <f t="shared" si="4"/>
        <v>2060</v>
      </c>
      <c r="C40" s="70">
        <f t="shared" si="0"/>
        <v>61200</v>
      </c>
      <c r="D40" s="70">
        <f t="shared" si="8"/>
        <v>540</v>
      </c>
      <c r="E40" s="70">
        <f t="shared" si="8"/>
        <v>0</v>
      </c>
      <c r="F40" s="71">
        <f t="shared" si="9"/>
        <v>232248.19124200154</v>
      </c>
      <c r="G40" s="70">
        <f t="shared" si="9"/>
        <v>58062.047810500386</v>
      </c>
      <c r="H40" s="69">
        <f t="shared" si="3"/>
        <v>174186.14343150117</v>
      </c>
      <c r="I40" s="3"/>
      <c r="J40" s="65">
        <f>(J39+$C$7)*(1+Rechner!$F$26)</f>
        <v>190441.94799923126</v>
      </c>
      <c r="K40" s="66">
        <f>MAX(0,J39*Rechner!F20*(1-Rechner!F22))</f>
        <v>2794.2048701587391</v>
      </c>
      <c r="L40" s="66">
        <f t="shared" si="5"/>
        <v>34008.500148757666</v>
      </c>
      <c r="M40" s="66">
        <f>MAX(0,K40-Rechner!$F$21)*Rechner!$F$25</f>
        <v>473.22153450436741</v>
      </c>
      <c r="N40" s="66">
        <f t="shared" si="7"/>
        <v>3096.5528926908592</v>
      </c>
      <c r="O40" s="66">
        <f>J40-L40/(1-Rechner!$F$22)-C40</f>
        <v>80658.376358148875</v>
      </c>
      <c r="P40" s="66">
        <f>O40*Rechner!$F$25*(1-Rechner!$F$22)</f>
        <v>14891.552735123236</v>
      </c>
      <c r="Q40" s="64">
        <f t="shared" si="6"/>
        <v>175550.39526410803</v>
      </c>
    </row>
    <row r="41" spans="1:17" ht="15.75" customHeight="1" x14ac:dyDescent="0.2">
      <c r="A41" s="56">
        <v>35</v>
      </c>
      <c r="B41" s="57">
        <f t="shared" si="4"/>
        <v>2061</v>
      </c>
      <c r="C41" s="67">
        <f t="shared" si="0"/>
        <v>63000</v>
      </c>
      <c r="D41" s="67">
        <f t="shared" si="8"/>
        <v>540</v>
      </c>
      <c r="E41" s="67">
        <f t="shared" si="8"/>
        <v>0</v>
      </c>
      <c r="F41" s="68">
        <f t="shared" si="9"/>
        <v>247490.54176031161</v>
      </c>
      <c r="G41" s="67">
        <f t="shared" si="9"/>
        <v>61872.635440077902</v>
      </c>
      <c r="H41" s="69">
        <f t="shared" si="3"/>
        <v>185617.90632023371</v>
      </c>
      <c r="I41" s="3"/>
      <c r="J41" s="62">
        <f>(J40+$C$7)*(1+Rechner!$F$26)</f>
        <v>203391.98098318669</v>
      </c>
      <c r="K41" s="63">
        <f>MAX(0,J40*Rechner!F20*(1-Rechner!F22))</f>
        <v>2986.1297446279459</v>
      </c>
      <c r="L41" s="63">
        <f t="shared" si="5"/>
        <v>36994.629893385616</v>
      </c>
      <c r="M41" s="63">
        <f>MAX(0,K41-Rechner!$F$21)*Rechner!$F$25</f>
        <v>523.84172014562068</v>
      </c>
      <c r="N41" s="63">
        <f t="shared" si="7"/>
        <v>3620.3946128364796</v>
      </c>
      <c r="O41" s="63">
        <f>J41-L41/(1-Rechner!$F$22)-C41</f>
        <v>87542.509706921526</v>
      </c>
      <c r="P41" s="63">
        <f>O41*Rechner!$F$25*(1-Rechner!$F$22)</f>
        <v>16162.535854640384</v>
      </c>
      <c r="Q41" s="64">
        <f t="shared" si="6"/>
        <v>187229.4451285463</v>
      </c>
    </row>
    <row r="42" spans="1:17" ht="15.75" customHeight="1" x14ac:dyDescent="0.2">
      <c r="A42" s="58">
        <v>36</v>
      </c>
      <c r="B42" s="59">
        <f t="shared" si="4"/>
        <v>2062</v>
      </c>
      <c r="C42" s="70">
        <f t="shared" si="0"/>
        <v>64800</v>
      </c>
      <c r="D42" s="70">
        <f t="shared" si="8"/>
        <v>540</v>
      </c>
      <c r="E42" s="70">
        <f t="shared" si="8"/>
        <v>0</v>
      </c>
      <c r="F42" s="71">
        <f t="shared" si="9"/>
        <v>263571.22155712871</v>
      </c>
      <c r="G42" s="70">
        <f t="shared" si="9"/>
        <v>65892.805389282177</v>
      </c>
      <c r="H42" s="69">
        <f t="shared" si="3"/>
        <v>197678.41616784653</v>
      </c>
      <c r="I42" s="3"/>
      <c r="J42" s="65">
        <f>(J41+$C$7)*(1+Rechner!$F$26)</f>
        <v>217093.11588021152</v>
      </c>
      <c r="K42" s="66">
        <f>MAX(0,J41*Rechner!F20*(1-Rechner!F22))</f>
        <v>3189.1862618163673</v>
      </c>
      <c r="L42" s="66">
        <f t="shared" si="5"/>
        <v>40183.816155201981</v>
      </c>
      <c r="M42" s="66">
        <f>MAX(0,K42-Rechner!$F$21)*Rechner!$F$25</f>
        <v>577.39787655406678</v>
      </c>
      <c r="N42" s="66">
        <f t="shared" si="7"/>
        <v>4197.7924893905465</v>
      </c>
      <c r="O42" s="66">
        <f>J42-L42/(1-Rechner!$F$22)-C42</f>
        <v>94887.664229922986</v>
      </c>
      <c r="P42" s="66">
        <f>O42*Rechner!$F$25*(1-Rechner!$F$22)</f>
        <v>17518.635008449528</v>
      </c>
      <c r="Q42" s="64">
        <f t="shared" si="6"/>
        <v>199574.480871762</v>
      </c>
    </row>
    <row r="43" spans="1:17" ht="15.75" customHeight="1" x14ac:dyDescent="0.2">
      <c r="A43" s="56">
        <v>37</v>
      </c>
      <c r="B43" s="57">
        <f t="shared" si="4"/>
        <v>2063</v>
      </c>
      <c r="C43" s="67">
        <f t="shared" si="0"/>
        <v>66600</v>
      </c>
      <c r="D43" s="67">
        <f t="shared" si="8"/>
        <v>540</v>
      </c>
      <c r="E43" s="67">
        <f t="shared" si="8"/>
        <v>0</v>
      </c>
      <c r="F43" s="68">
        <f t="shared" si="9"/>
        <v>280536.33874277078</v>
      </c>
      <c r="G43" s="67">
        <f t="shared" si="9"/>
        <v>70134.084685692695</v>
      </c>
      <c r="H43" s="69">
        <f t="shared" si="3"/>
        <v>210402.2540570781</v>
      </c>
      <c r="I43" s="3"/>
      <c r="J43" s="62">
        <f>(J42+$C$7)*(1+Rechner!$F$26)</f>
        <v>231588.9166012638</v>
      </c>
      <c r="K43" s="63">
        <f>MAX(0,J42*Rechner!F20*(1-Rechner!F22))</f>
        <v>3404.0200570017169</v>
      </c>
      <c r="L43" s="63">
        <f t="shared" si="5"/>
        <v>43587.8362122037</v>
      </c>
      <c r="M43" s="63">
        <f>MAX(0,K43-Rechner!$F$21)*Rechner!$F$25</f>
        <v>634.06029003420281</v>
      </c>
      <c r="N43" s="63">
        <f t="shared" si="7"/>
        <v>4831.8527794247493</v>
      </c>
      <c r="O43" s="63">
        <f>J43-L43/(1-Rechner!$F$22)-C43</f>
        <v>102720.57915525851</v>
      </c>
      <c r="P43" s="63">
        <f>O43*Rechner!$F$25*(1-Rechner!$F$22)</f>
        <v>18964.7869265396</v>
      </c>
      <c r="Q43" s="64">
        <f t="shared" si="6"/>
        <v>212624.12967472419</v>
      </c>
    </row>
    <row r="44" spans="1:17" ht="15.75" customHeight="1" x14ac:dyDescent="0.2">
      <c r="A44" s="58">
        <v>38</v>
      </c>
      <c r="B44" s="59">
        <f t="shared" si="4"/>
        <v>2064</v>
      </c>
      <c r="C44" s="70">
        <f t="shared" si="0"/>
        <v>68400</v>
      </c>
      <c r="D44" s="70">
        <f t="shared" si="8"/>
        <v>540</v>
      </c>
      <c r="E44" s="70">
        <f t="shared" si="8"/>
        <v>0</v>
      </c>
      <c r="F44" s="71">
        <f t="shared" si="9"/>
        <v>298434.53737362317</v>
      </c>
      <c r="G44" s="70">
        <f t="shared" si="9"/>
        <v>74608.634343405793</v>
      </c>
      <c r="H44" s="69">
        <f t="shared" si="3"/>
        <v>223825.90303021739</v>
      </c>
      <c r="I44" s="3"/>
      <c r="J44" s="65">
        <f>(J43+$C$7)*(1+Rechner!$F$26)</f>
        <v>246925.4737641371</v>
      </c>
      <c r="K44" s="66">
        <f>MAX(0,J43*Rechner!F20*(1-Rechner!F22))</f>
        <v>3631.314212307816</v>
      </c>
      <c r="L44" s="66">
        <f t="shared" si="5"/>
        <v>47219.150424511514</v>
      </c>
      <c r="M44" s="66">
        <f>MAX(0,K44-Rechner!$F$21)*Rechner!$F$25</f>
        <v>694.00912349618648</v>
      </c>
      <c r="N44" s="66">
        <f t="shared" si="7"/>
        <v>5525.8619029209358</v>
      </c>
      <c r="O44" s="66">
        <f>J44-L44/(1-Rechner!$F$22)-C44</f>
        <v>111069.54458626351</v>
      </c>
      <c r="P44" s="66">
        <f>O44*Rechner!$F$25*(1-Rechner!$F$22)</f>
        <v>20506.214669238896</v>
      </c>
      <c r="Q44" s="64">
        <f t="shared" si="6"/>
        <v>226419.25909489821</v>
      </c>
    </row>
    <row r="45" spans="1:17" ht="15.75" customHeight="1" x14ac:dyDescent="0.2">
      <c r="A45" s="56">
        <v>39</v>
      </c>
      <c r="B45" s="57">
        <f t="shared" si="4"/>
        <v>2065</v>
      </c>
      <c r="C45" s="67">
        <f t="shared" si="0"/>
        <v>70200</v>
      </c>
      <c r="D45" s="67">
        <f t="shared" si="8"/>
        <v>540</v>
      </c>
      <c r="E45" s="67">
        <f t="shared" si="8"/>
        <v>0</v>
      </c>
      <c r="F45" s="68">
        <f t="shared" si="9"/>
        <v>317317.13692917244</v>
      </c>
      <c r="G45" s="67">
        <f t="shared" si="9"/>
        <v>79329.28423229311</v>
      </c>
      <c r="H45" s="69">
        <f t="shared" si="3"/>
        <v>237987.85269687933</v>
      </c>
      <c r="I45" s="3"/>
      <c r="J45" s="62">
        <f>(J44+$C$7)*(1+Rechner!$F$26)</f>
        <v>263151.55124245706</v>
      </c>
      <c r="K45" s="63">
        <f>MAX(0,J44*Rechner!F20*(1-Rechner!F22))</f>
        <v>3871.7914286216696</v>
      </c>
      <c r="L45" s="63">
        <f t="shared" si="5"/>
        <v>51090.941853133183</v>
      </c>
      <c r="M45" s="63">
        <f>MAX(0,K45-Rechner!$F$21)*Rechner!$F$25</f>
        <v>757.43498929896532</v>
      </c>
      <c r="N45" s="63">
        <f t="shared" si="7"/>
        <v>6283.2968922199016</v>
      </c>
      <c r="O45" s="63">
        <f>J45-L45/(1-Rechner!$F$22)-C45</f>
        <v>119964.49145226681</v>
      </c>
      <c r="P45" s="63">
        <f>O45*Rechner!$F$25*(1-Rechner!$F$22)</f>
        <v>22148.444234374758</v>
      </c>
      <c r="Q45" s="64">
        <f t="shared" si="6"/>
        <v>241003.1070080823</v>
      </c>
    </row>
    <row r="46" spans="1:17" ht="15.75" customHeight="1" x14ac:dyDescent="0.2">
      <c r="A46" s="58">
        <v>40</v>
      </c>
      <c r="B46" s="59">
        <f t="shared" si="4"/>
        <v>2066</v>
      </c>
      <c r="C46" s="70">
        <f t="shared" si="0"/>
        <v>72000</v>
      </c>
      <c r="D46" s="70">
        <f t="shared" si="8"/>
        <v>540</v>
      </c>
      <c r="E46" s="70">
        <f t="shared" si="8"/>
        <v>0</v>
      </c>
      <c r="F46" s="71">
        <f t="shared" si="9"/>
        <v>337238.27946027688</v>
      </c>
      <c r="G46" s="70">
        <f t="shared" si="9"/>
        <v>84309.569865069221</v>
      </c>
      <c r="H46" s="69">
        <f t="shared" si="3"/>
        <v>252928.70959520765</v>
      </c>
      <c r="I46" s="3"/>
      <c r="J46" s="65">
        <f>(J45+$C$7)*(1+Rechner!$F$26)</f>
        <v>280318.7412145196</v>
      </c>
      <c r="K46" s="66">
        <f>MAX(0,J45*Rechner!F20*(1-Rechner!F22))</f>
        <v>4126.2163234817262</v>
      </c>
      <c r="L46" s="66">
        <f t="shared" si="5"/>
        <v>55217.15817661491</v>
      </c>
      <c r="M46" s="66">
        <f>MAX(0,K46-Rechner!$F$21)*Rechner!$F$25</f>
        <v>824.53955531830525</v>
      </c>
      <c r="N46" s="66">
        <f t="shared" si="7"/>
        <v>7107.8364475382068</v>
      </c>
      <c r="O46" s="66">
        <f>J46-L46/(1-Rechner!$F$22)-C46</f>
        <v>129437.08667649829</v>
      </c>
      <c r="P46" s="66">
        <f>O46*Rechner!$F$25*(1-Rechner!$F$22)</f>
        <v>23897.322127648495</v>
      </c>
      <c r="Q46" s="64">
        <f>J46-P46</f>
        <v>256421.41908687112</v>
      </c>
    </row>
    <row r="47" spans="1:17" ht="17" x14ac:dyDescent="0.3">
      <c r="A47" s="110" t="s">
        <v>165</v>
      </c>
      <c r="B47" s="111"/>
      <c r="C47" s="111"/>
      <c r="D47" s="111"/>
      <c r="E47" s="112"/>
      <c r="F47" s="73">
        <f>INDEX(F7:F46,MATCH(Rechner!C10,A7:A46,0))</f>
        <v>178821.46446656165</v>
      </c>
      <c r="G47" s="73">
        <f>INDEX(G7:G46,MATCH(Rechner!C10,A7:A46,0))</f>
        <v>44705.366116640413</v>
      </c>
      <c r="H47" s="74">
        <f>INDEX(H7:H46,MATCH(Rechner!C10,A7:A46,0))</f>
        <v>134116.09834992123</v>
      </c>
      <c r="J47" s="75" t="s">
        <v>165</v>
      </c>
      <c r="K47" s="76"/>
      <c r="L47" s="76"/>
      <c r="M47" s="76"/>
      <c r="N47" s="92">
        <f>INDEX(N7:N46,MATCH(Rechner!C10,A7:A46,0))</f>
        <v>1480.3899711788083</v>
      </c>
      <c r="O47" s="75"/>
      <c r="P47" s="77">
        <f>INDEX(P7:P46,MATCH(Rechner!C10,A7:A46,0))</f>
        <v>10569.21226343444</v>
      </c>
      <c r="Q47" s="77">
        <f>INDEX(Q7:Q46,MATCH(Rechner!C10,A7:A46,0))</f>
        <v>134793.23191344965</v>
      </c>
    </row>
    <row r="48" spans="1:17" x14ac:dyDescent="0.2">
      <c r="A48" s="54"/>
      <c r="B48" s="54"/>
      <c r="C48" s="54"/>
      <c r="D48" s="54"/>
      <c r="E48" s="54"/>
      <c r="F48" s="54"/>
      <c r="G48" s="54"/>
      <c r="H48" s="54"/>
    </row>
    <row r="49" spans="1:8" x14ac:dyDescent="0.2">
      <c r="A49" s="54"/>
      <c r="B49" s="54"/>
      <c r="C49" s="54"/>
      <c r="D49" s="54"/>
      <c r="E49" s="54"/>
      <c r="F49" s="54"/>
      <c r="G49" s="54"/>
      <c r="H49" s="54"/>
    </row>
    <row r="50" spans="1:8" ht="16" x14ac:dyDescent="0.2">
      <c r="A50" s="109" t="s">
        <v>218</v>
      </c>
      <c r="B50" s="109"/>
      <c r="C50" s="109"/>
      <c r="D50" s="109"/>
      <c r="E50" s="109"/>
      <c r="F50" s="109"/>
      <c r="G50" s="109"/>
      <c r="H50" s="109"/>
    </row>
    <row r="51" spans="1:8" ht="2" customHeight="1" x14ac:dyDescent="0.2">
      <c r="A51" s="109"/>
      <c r="B51" s="109"/>
      <c r="C51" s="109"/>
      <c r="D51" s="109"/>
      <c r="E51" s="109"/>
      <c r="F51" s="109"/>
      <c r="G51" s="109"/>
      <c r="H51" s="109"/>
    </row>
    <row r="52" spans="1:8" ht="97" x14ac:dyDescent="0.2">
      <c r="A52" s="55" t="s">
        <v>34</v>
      </c>
      <c r="B52" s="55" t="s">
        <v>35</v>
      </c>
      <c r="C52" s="72" t="s">
        <v>159</v>
      </c>
      <c r="D52" s="72" t="s">
        <v>144</v>
      </c>
      <c r="E52" s="72" t="s">
        <v>143</v>
      </c>
      <c r="F52" s="72" t="s">
        <v>162</v>
      </c>
      <c r="G52" s="72" t="s">
        <v>203</v>
      </c>
      <c r="H52" s="72" t="s">
        <v>163</v>
      </c>
    </row>
    <row r="53" spans="1:8" x14ac:dyDescent="0.2">
      <c r="A53" s="56">
        <v>1</v>
      </c>
      <c r="B53" s="57">
        <f>Rechner!C14</f>
        <v>2027</v>
      </c>
      <c r="C53" s="67">
        <f>Rechner!C6*12*1</f>
        <v>1800</v>
      </c>
      <c r="D53" s="67">
        <f>IF(Rechner!$C$33&gt;=120,
  IF(LEFT(Rechner!$C$18,2)="JA",
    MIN(0.5*MIN(Rechner!$C$33,360) + 0.25*MAX(MIN(Rechner!$C$33,1800)-360,0), 540),
    MIN(0.5*MIN(Rechner!$C$33,360) + 0.25*MAX(MIN(Rechner!$C$33,1800)-360,0), 175)
  ),0)</f>
        <v>540</v>
      </c>
      <c r="E53" s="67">
        <f>IF(Rechner!$C$33&gt;=120,
  IF(A53&lt;=Rechner!$C$25, MIN(Rechner!$C$33,MIN(300,Rechner!$C$6*12)), 0)
 +IF(A53&lt;=Rechner!$C$26, MIN(Rechner!$C$33,MIN(300,Rechner!$C$6*12)), 0)
 +IF(A53&lt;=Rechner!$C$27, MIN(Rechner!$C$33,MIN(300,Rechner!$C$6*12)), 0)
 +IF(A53&lt;=Rechner!$C$28, MIN(Rechner!$C$33,MIN(300,Rechner!$C$6*12)), 0)
 +IF(A53&lt;=Rechner!$C$29, MIN(Rechner!$C$33,MIN(300,Rechner!$C$6*12)), 0),0)</f>
        <v>0</v>
      </c>
      <c r="F53" s="68">
        <f>(Rechner!C6*12+(IF(Rechner!C33&gt;=120,IF(LEFT(Rechner!C18,2)="JA",MIN(0.5*MIN(Rechner!C33,360)+0.25*MAX(MIN(Rechner!C33,1800)-360,0),540),MIN(0.5*MIN(Rechner!C33,360)+0.25*MAX(MIN(Rechner!C33,1800)-360,0),175)),0)+IF(Rechner!C33&gt;=120,(IF(1&lt;=Rechner!C25,MIN(Rechner!C33,300),0)+IF(1&lt;=Rechner!C26,MIN(Rechner!C33,300),0)+IF(1&lt;=Rechner!C27,MIN(Rechner!C33,300),0)+IF(1&lt;=Rechner!C28,MIN(Rechner!C33,300),0)+IF(1&lt;=Rechner!C29,MIN(Rechner!C33,300),0)),0)))*(1+Rechner!C21)</f>
        <v>2468.6999999999998</v>
      </c>
      <c r="G53" s="67">
        <f>(F53)*Rechner!$C$13</f>
        <v>617.17499999999995</v>
      </c>
      <c r="H53" s="69">
        <f t="shared" ref="H53:H92" si="10">F53-G53</f>
        <v>1851.5249999999999</v>
      </c>
    </row>
    <row r="54" spans="1:8" x14ac:dyDescent="0.2">
      <c r="A54" s="58">
        <v>2</v>
      </c>
      <c r="B54" s="59">
        <f t="shared" ref="B54:B92" si="11">B53+1</f>
        <v>2028</v>
      </c>
      <c r="C54" s="70">
        <f>Rechner!C6*12*2</f>
        <v>3600</v>
      </c>
      <c r="D54" s="70">
        <f>IF(Rechner!$C$33&gt;=120,
  IF(LEFT(Rechner!$C$18,2)="JA",
    MIN(0.5*MIN(Rechner!$C$33,360) + 0.25*MAX(MIN(Rechner!$C$33,1800)-360,0), 540),
    MIN(0.5*MIN(Rechner!$C$33,360) + 0.25*MAX(MIN(Rechner!$C$33,1800)-360,0), 175)
  ),0)</f>
        <v>540</v>
      </c>
      <c r="E54" s="70">
        <f>IF(Rechner!$C$33&gt;=120,
  IF(A54&lt;=Rechner!$C$25, MIN(Rechner!$C$33,MIN(300,Rechner!$C$6*12)), 0)
 +IF(A54&lt;=Rechner!$C$26, MIN(Rechner!$C$33,MIN(300,Rechner!$C$6*12)), 0)
 +IF(A54&lt;=Rechner!$C$27, MIN(Rechner!$C$33,MIN(300,Rechner!$C$6*12)), 0)
 +IF(A54&lt;=Rechner!$C$28, MIN(Rechner!$C$33,MIN(300,Rechner!$C$6*12)), 0)
 +IF(A54&lt;=Rechner!$C$29, MIN(Rechner!$C$33,MIN(300,Rechner!$C$6*12)), 0),0)</f>
        <v>0</v>
      </c>
      <c r="F54" s="71">
        <f>(F53+Rechner!C6*12+(IF(Rechner!C33&gt;=120,IF(LEFT(Rechner!C18,2)="JA",MIN(0.5*MIN(Rechner!C33,360)+0.25*MAX(MIN(Rechner!C33,1800)-360,0),540),MIN(0.5*MIN(Rechner!C33,360)+0.25*MAX(MIN(Rechner!C33,1800)-360,0),175)),0)+IF(Rechner!C33&gt;=120,(IF(2&lt;=Rechner!C25,MIN(Rechner!C33,300),0)+IF(2&lt;=Rechner!C26,MIN(Rechner!C33,300),0)+IF(2&lt;=Rechner!C27,MIN(Rechner!C33,300),0)+IF(2&lt;=Rechner!C28,MIN(Rechner!C33,300),0)+IF(2&lt;=Rechner!C29,MIN(Rechner!C33,300),0)),0)))*(1+Rechner!C21)</f>
        <v>5073.1784999999991</v>
      </c>
      <c r="G54" s="70">
        <f>(F54)*Rechner!$C$13</f>
        <v>1268.2946249999998</v>
      </c>
      <c r="H54" s="69">
        <f t="shared" si="10"/>
        <v>3804.8838749999995</v>
      </c>
    </row>
    <row r="55" spans="1:8" x14ac:dyDescent="0.2">
      <c r="A55" s="56">
        <v>3</v>
      </c>
      <c r="B55" s="57">
        <f t="shared" si="11"/>
        <v>2029</v>
      </c>
      <c r="C55" s="67">
        <f>Rechner!C6*12*3</f>
        <v>5400</v>
      </c>
      <c r="D55" s="67">
        <f>IF(Rechner!$C$33&gt;=120,
  IF(LEFT(Rechner!$C$18,2)="JA",
    MIN(0.5*MIN(Rechner!$C$33,360) + 0.25*MAX(MIN(Rechner!$C$33,1800)-360,0), 540),
    MIN(0.5*MIN(Rechner!$C$33,360) + 0.25*MAX(MIN(Rechner!$C$33,1800)-360,0), 175)
  ),0)</f>
        <v>540</v>
      </c>
      <c r="E55" s="67">
        <f>IF(Rechner!$C$33&gt;=120,
  IF(A55&lt;=Rechner!$C$25, MIN(Rechner!$C$33,MIN(300,Rechner!$C$6*12)), 0)
 +IF(A55&lt;=Rechner!$C$26, MIN(Rechner!$C$33,MIN(300,Rechner!$C$6*12)), 0)
 +IF(A55&lt;=Rechner!$C$27, MIN(Rechner!$C$33,MIN(300,Rechner!$C$6*12)), 0)
 +IF(A55&lt;=Rechner!$C$28, MIN(Rechner!$C$33,MIN(300,Rechner!$C$6*12)), 0)
 +IF(A55&lt;=Rechner!$C$29, MIN(Rechner!$C$33,MIN(300,Rechner!$C$6*12)), 0),0)</f>
        <v>0</v>
      </c>
      <c r="F55" s="68">
        <f>(F54+Rechner!C6*12+(IF(Rechner!C33&gt;=120,IF(LEFT(Rechner!C18,2)="JA",MIN(0.5*MIN(Rechner!C33,360)+0.25*MAX(MIN(Rechner!C33,1800)-360,0),540),MIN(0.5*MIN(Rechner!C33,360)+0.25*MAX(MIN(Rechner!C33,1800)-360,0),175)),0)+IF(Rechner!C33&gt;=120,(IF(3&lt;=Rechner!C25,MIN(Rechner!C33,300),0)+IF(3&lt;=Rechner!C26,MIN(Rechner!C33,300),0)+IF(3&lt;=Rechner!C27,MIN(Rechner!C33,300),0)+IF(3&lt;=Rechner!C28,MIN(Rechner!C33,300),0)+IF(3&lt;=Rechner!C29,MIN(Rechner!C33,300),0)),0)))*(1+Rechner!C21)</f>
        <v>7820.9033174999986</v>
      </c>
      <c r="G55" s="67">
        <f>(F55)*Rechner!$C$13</f>
        <v>1955.2258293749996</v>
      </c>
      <c r="H55" s="69">
        <f t="shared" si="10"/>
        <v>5865.6774881249985</v>
      </c>
    </row>
    <row r="56" spans="1:8" x14ac:dyDescent="0.2">
      <c r="A56" s="58">
        <v>4</v>
      </c>
      <c r="B56" s="59">
        <f t="shared" si="11"/>
        <v>2030</v>
      </c>
      <c r="C56" s="70">
        <f>Rechner!C6*12*4</f>
        <v>7200</v>
      </c>
      <c r="D56" s="70">
        <f>IF(Rechner!$C$33&gt;=120,
  IF(LEFT(Rechner!$C$18,2)="JA",
    MIN(0.5*MIN(Rechner!$C$33,360) + 0.25*MAX(MIN(Rechner!$C$33,1800)-360,0), 540),
    MIN(0.5*MIN(Rechner!$C$33,360) + 0.25*MAX(MIN(Rechner!$C$33,1800)-360,0), 175)
  ),0)</f>
        <v>540</v>
      </c>
      <c r="E56" s="70">
        <f>IF(Rechner!$C$33&gt;=120,
  IF(A56&lt;=Rechner!$C$25, MIN(Rechner!$C$33,MIN(300,Rechner!$C$6*12)), 0)
 +IF(A56&lt;=Rechner!$C$26, MIN(Rechner!$C$33,MIN(300,Rechner!$C$6*12)), 0)
 +IF(A56&lt;=Rechner!$C$27, MIN(Rechner!$C$33,MIN(300,Rechner!$C$6*12)), 0)
 +IF(A56&lt;=Rechner!$C$28, MIN(Rechner!$C$33,MIN(300,Rechner!$C$6*12)), 0)
 +IF(A56&lt;=Rechner!$C$29, MIN(Rechner!$C$33,MIN(300,Rechner!$C$6*12)), 0),0)</f>
        <v>0</v>
      </c>
      <c r="F56" s="71">
        <f>(F55+Rechner!C6*12+(IF(Rechner!C33&gt;=120,IF(LEFT(Rechner!C18,2)="JA",MIN(0.5*MIN(Rechner!C33,360)+0.25*MAX(MIN(Rechner!C33,1800)-360,0),540),MIN(0.5*MIN(Rechner!C33,360)+0.25*MAX(MIN(Rechner!C33,1800)-360,0),175)),0)+IF(Rechner!C33&gt;=120,(IF(4&lt;=Rechner!C25,MIN(Rechner!C33,300),0)+IF(4&lt;=Rechner!C26,MIN(Rechner!C33,300),0)+IF(4&lt;=Rechner!C27,MIN(Rechner!C33,300),0)+IF(4&lt;=Rechner!C28,MIN(Rechner!C33,300),0)+IF(4&lt;=Rechner!C29,MIN(Rechner!C33,300),0)),0)))*(1+Rechner!C21)</f>
        <v>10719.752999962499</v>
      </c>
      <c r="G56" s="70">
        <f>(F56)*Rechner!$C$13</f>
        <v>2679.9382499906246</v>
      </c>
      <c r="H56" s="69">
        <f t="shared" si="10"/>
        <v>8039.8147499718743</v>
      </c>
    </row>
    <row r="57" spans="1:8" x14ac:dyDescent="0.2">
      <c r="A57" s="56">
        <v>5</v>
      </c>
      <c r="B57" s="57">
        <f t="shared" si="11"/>
        <v>2031</v>
      </c>
      <c r="C57" s="67">
        <f>Rechner!C6*12*5</f>
        <v>9000</v>
      </c>
      <c r="D57" s="67">
        <f>IF(Rechner!$C$33&gt;=120,
  IF(LEFT(Rechner!$C$18,2)="JA",
    MIN(0.5*MIN(Rechner!$C$33,360) + 0.25*MAX(MIN(Rechner!$C$33,1800)-360,0), 540),
    MIN(0.5*MIN(Rechner!$C$33,360) + 0.25*MAX(MIN(Rechner!$C$33,1800)-360,0), 175)
  ),0)</f>
        <v>540</v>
      </c>
      <c r="E57" s="67">
        <f>IF(Rechner!$C$33&gt;=120,
  IF(A57&lt;=Rechner!$C$25, MIN(Rechner!$C$33,MIN(300,Rechner!$C$6*12)), 0)
 +IF(A57&lt;=Rechner!$C$26, MIN(Rechner!$C$33,MIN(300,Rechner!$C$6*12)), 0)
 +IF(A57&lt;=Rechner!$C$27, MIN(Rechner!$C$33,MIN(300,Rechner!$C$6*12)), 0)
 +IF(A57&lt;=Rechner!$C$28, MIN(Rechner!$C$33,MIN(300,Rechner!$C$6*12)), 0)
 +IF(A57&lt;=Rechner!$C$29, MIN(Rechner!$C$33,MIN(300,Rechner!$C$6*12)), 0),0)</f>
        <v>0</v>
      </c>
      <c r="F57" s="68">
        <f>(F56+Rechner!C6*12+(IF(Rechner!C33&gt;=120,IF(LEFT(Rechner!C18,2)="JA",MIN(0.5*MIN(Rechner!C33,360)+0.25*MAX(MIN(Rechner!C33,1800)-360,0),540),MIN(0.5*MIN(Rechner!C33,360)+0.25*MAX(MIN(Rechner!C33,1800)-360,0),175)),0)+IF(Rechner!C33&gt;=120,(IF(5&lt;=Rechner!C25,MIN(Rechner!C33,300),0)+IF(5&lt;=Rechner!C26,MIN(Rechner!C33,300),0)+IF(5&lt;=Rechner!C27,MIN(Rechner!C33,300),0)+IF(5&lt;=Rechner!C28,MIN(Rechner!C33,300),0)+IF(5&lt;=Rechner!C29,MIN(Rechner!C33,300),0)),0)))*(1+Rechner!C21)</f>
        <v>13778.039414960434</v>
      </c>
      <c r="G57" s="67">
        <f>(F57)*Rechner!$C$13</f>
        <v>3444.5098537401086</v>
      </c>
      <c r="H57" s="69">
        <f t="shared" si="10"/>
        <v>10333.529561220326</v>
      </c>
    </row>
    <row r="58" spans="1:8" x14ac:dyDescent="0.2">
      <c r="A58" s="58">
        <v>6</v>
      </c>
      <c r="B58" s="59">
        <f t="shared" si="11"/>
        <v>2032</v>
      </c>
      <c r="C58" s="70">
        <f>Rechner!C6*12*6</f>
        <v>10800</v>
      </c>
      <c r="D58" s="70">
        <f>IF(Rechner!$C$33&gt;=120,
  IF(LEFT(Rechner!$C$18,2)="JA",
    MIN(0.5*MIN(Rechner!$C$33,360) + 0.25*MAX(MIN(Rechner!$C$33,1800)-360,0), 540),
    MIN(0.5*MIN(Rechner!$C$33,360) + 0.25*MAX(MIN(Rechner!$C$33,1800)-360,0), 175)
  ),0)</f>
        <v>540</v>
      </c>
      <c r="E58" s="70">
        <f>IF(Rechner!$C$33&gt;=120,
  IF(A58&lt;=Rechner!$C$25, MIN(Rechner!$C$33,MIN(300,Rechner!$C$6*12)), 0)
 +IF(A58&lt;=Rechner!$C$26, MIN(Rechner!$C$33,MIN(300,Rechner!$C$6*12)), 0)
 +IF(A58&lt;=Rechner!$C$27, MIN(Rechner!$C$33,MIN(300,Rechner!$C$6*12)), 0)
 +IF(A58&lt;=Rechner!$C$28, MIN(Rechner!$C$33,MIN(300,Rechner!$C$6*12)), 0)
 +IF(A58&lt;=Rechner!$C$29, MIN(Rechner!$C$33,MIN(300,Rechner!$C$6*12)), 0),0)</f>
        <v>0</v>
      </c>
      <c r="F58" s="71">
        <f>(F57+Rechner!C6*12+(IF(Rechner!C33&gt;=120,IF(LEFT(Rechner!C18,2)="JA",MIN(0.5*MIN(Rechner!C33,360)+0.25*MAX(MIN(Rechner!C33,1800)-360,0),540),MIN(0.5*MIN(Rechner!C33,360)+0.25*MAX(MIN(Rechner!C33,1800)-360,0),175)),0)+IF(Rechner!C33&gt;=120,(IF(6&lt;=Rechner!C25,MIN(Rechner!C33,300),0)+IF(6&lt;=Rechner!C26,MIN(Rechner!C33,300),0)+IF(6&lt;=Rechner!C27,MIN(Rechner!C33,300),0)+IF(6&lt;=Rechner!C28,MIN(Rechner!C33,300),0)+IF(6&lt;=Rechner!C29,MIN(Rechner!C33,300),0)),0)))*(1+Rechner!C21)</f>
        <v>17004.531582783256</v>
      </c>
      <c r="G58" s="70">
        <f>(F58)*Rechner!$C$13</f>
        <v>4251.1328956958141</v>
      </c>
      <c r="H58" s="69">
        <f t="shared" si="10"/>
        <v>12753.398687087443</v>
      </c>
    </row>
    <row r="59" spans="1:8" x14ac:dyDescent="0.2">
      <c r="A59" s="56">
        <v>7</v>
      </c>
      <c r="B59" s="57">
        <f t="shared" si="11"/>
        <v>2033</v>
      </c>
      <c r="C59" s="67">
        <f>Rechner!C6*12*7</f>
        <v>12600</v>
      </c>
      <c r="D59" s="67">
        <f>IF(Rechner!$C$33&gt;=120,
  IF(LEFT(Rechner!$C$18,2)="JA",
    MIN(0.5*MIN(Rechner!$C$33,360) + 0.25*MAX(MIN(Rechner!$C$33,1800)-360,0), 540),
    MIN(0.5*MIN(Rechner!$C$33,360) + 0.25*MAX(MIN(Rechner!$C$33,1800)-360,0), 175)
  ),0)</f>
        <v>540</v>
      </c>
      <c r="E59" s="67">
        <f>IF(Rechner!$C$33&gt;=120,
  IF(A59&lt;=Rechner!$C$25, MIN(Rechner!$C$33,MIN(300,Rechner!$C$6*12)), 0)
 +IF(A59&lt;=Rechner!$C$26, MIN(Rechner!$C$33,MIN(300,Rechner!$C$6*12)), 0)
 +IF(A59&lt;=Rechner!$C$27, MIN(Rechner!$C$33,MIN(300,Rechner!$C$6*12)), 0)
 +IF(A59&lt;=Rechner!$C$28, MIN(Rechner!$C$33,MIN(300,Rechner!$C$6*12)), 0)
 +IF(A59&lt;=Rechner!$C$29, MIN(Rechner!$C$33,MIN(300,Rechner!$C$6*12)), 0),0)</f>
        <v>0</v>
      </c>
      <c r="F59" s="68">
        <f>(F58+Rechner!C6*12+(IF(Rechner!C33&gt;=120,IF(LEFT(Rechner!C18,2)="JA",MIN(0.5*MIN(Rechner!C33,360)+0.25*MAX(MIN(Rechner!C33,1800)-360,0),540),MIN(0.5*MIN(Rechner!C33,360)+0.25*MAX(MIN(Rechner!C33,1800)-360,0),175)),0)+IF(Rechner!C33&gt;=120,(IF(7&lt;=Rechner!C25,MIN(Rechner!C33,300),0)+IF(7&lt;=Rechner!C26,MIN(Rechner!C33,300),0)+IF(7&lt;=Rechner!C27,MIN(Rechner!C33,300),0)+IF(7&lt;=Rechner!C28,MIN(Rechner!C33,300),0)+IF(7&lt;=Rechner!C29,MIN(Rechner!C33,300),0)),0)))*(1+Rechner!C21)</f>
        <v>20408.480819836335</v>
      </c>
      <c r="G59" s="67">
        <f>(F59)*Rechner!$C$13</f>
        <v>5102.1202049590838</v>
      </c>
      <c r="H59" s="69">
        <f t="shared" si="10"/>
        <v>15306.360614877252</v>
      </c>
    </row>
    <row r="60" spans="1:8" x14ac:dyDescent="0.2">
      <c r="A60" s="58">
        <v>8</v>
      </c>
      <c r="B60" s="59">
        <f t="shared" si="11"/>
        <v>2034</v>
      </c>
      <c r="C60" s="70">
        <f>Rechner!C6*12*8</f>
        <v>14400</v>
      </c>
      <c r="D60" s="70">
        <f>IF(Rechner!$C$33&gt;=120,
  IF(LEFT(Rechner!$C$18,2)="JA",
    MIN(0.5*MIN(Rechner!$C$33,360) + 0.25*MAX(MIN(Rechner!$C$33,1800)-360,0), 540),
    MIN(0.5*MIN(Rechner!$C$33,360) + 0.25*MAX(MIN(Rechner!$C$33,1800)-360,0), 175)
  ),0)</f>
        <v>540</v>
      </c>
      <c r="E60" s="70">
        <f>IF(Rechner!$C$33&gt;=120,
  IF(A60&lt;=Rechner!$C$25, MIN(Rechner!$C$33,MIN(300,Rechner!$C$6*12)), 0)
 +IF(A60&lt;=Rechner!$C$26, MIN(Rechner!$C$33,MIN(300,Rechner!$C$6*12)), 0)
 +IF(A60&lt;=Rechner!$C$27, MIN(Rechner!$C$33,MIN(300,Rechner!$C$6*12)), 0)
 +IF(A60&lt;=Rechner!$C$28, MIN(Rechner!$C$33,MIN(300,Rechner!$C$6*12)), 0)
 +IF(A60&lt;=Rechner!$C$29, MIN(Rechner!$C$33,MIN(300,Rechner!$C$6*12)), 0),0)</f>
        <v>0</v>
      </c>
      <c r="F60" s="71">
        <f>(F59+Rechner!C6*12+(IF(Rechner!C33&gt;=120,IF(LEFT(Rechner!C18,2)="JA",MIN(0.5*MIN(Rechner!C33,360)+0.25*MAX(MIN(Rechner!C33,1800)-360,0),540),MIN(0.5*MIN(Rechner!C33,360)+0.25*MAX(MIN(Rechner!C33,1800)-360,0),175)),0)+IF(Rechner!C33&gt;=120,(IF(8&lt;=Rechner!C25,MIN(Rechner!C33,300),0)+IF(8&lt;=Rechner!C26,MIN(Rechner!C33,300),0)+IF(8&lt;=Rechner!C27,MIN(Rechner!C33,300),0)+IF(8&lt;=Rechner!C28,MIN(Rechner!C33,300),0)+IF(8&lt;=Rechner!C29,MIN(Rechner!C33,300),0)),0)))*(1+Rechner!C21)</f>
        <v>23999.647264927331</v>
      </c>
      <c r="G60" s="70">
        <f>(F60)*Rechner!$C$13</f>
        <v>5999.9118162318327</v>
      </c>
      <c r="H60" s="69">
        <f t="shared" si="10"/>
        <v>17999.735448695497</v>
      </c>
    </row>
    <row r="61" spans="1:8" x14ac:dyDescent="0.2">
      <c r="A61" s="56">
        <v>9</v>
      </c>
      <c r="B61" s="57">
        <f t="shared" si="11"/>
        <v>2035</v>
      </c>
      <c r="C61" s="67">
        <f>Rechner!C6*12*9</f>
        <v>16200</v>
      </c>
      <c r="D61" s="67">
        <f>IF(Rechner!$C$33&gt;=120,
  IF(LEFT(Rechner!$C$18,2)="JA",
    MIN(0.5*MIN(Rechner!$C$33,360) + 0.25*MAX(MIN(Rechner!$C$33,1800)-360,0), 540),
    MIN(0.5*MIN(Rechner!$C$33,360) + 0.25*MAX(MIN(Rechner!$C$33,1800)-360,0), 175)
  ),0)</f>
        <v>540</v>
      </c>
      <c r="E61" s="67">
        <f>IF(Rechner!$C$33&gt;=120,
  IF(A61&lt;=Rechner!$C$25, MIN(Rechner!$C$33,MIN(300,Rechner!$C$6*12)), 0)
 +IF(A61&lt;=Rechner!$C$26, MIN(Rechner!$C$33,MIN(300,Rechner!$C$6*12)), 0)
 +IF(A61&lt;=Rechner!$C$27, MIN(Rechner!$C$33,MIN(300,Rechner!$C$6*12)), 0)
 +IF(A61&lt;=Rechner!$C$28, MIN(Rechner!$C$33,MIN(300,Rechner!$C$6*12)), 0)
 +IF(A61&lt;=Rechner!$C$29, MIN(Rechner!$C$33,MIN(300,Rechner!$C$6*12)), 0),0)</f>
        <v>0</v>
      </c>
      <c r="F61" s="68">
        <f>(F60+Rechner!C6*12+(IF(Rechner!C33&gt;=120,IF(LEFT(Rechner!C18,2)="JA",MIN(0.5*MIN(Rechner!C33,360)+0.25*MAX(MIN(Rechner!C33,1800)-360,0),540),MIN(0.5*MIN(Rechner!C33,360)+0.25*MAX(MIN(Rechner!C33,1800)-360,0),175)),0)+IF(Rechner!C33&gt;=120,(IF(9&lt;=Rechner!C25,MIN(Rechner!C33,300),0)+IF(9&lt;=Rechner!C26,MIN(Rechner!C33,300),0)+IF(9&lt;=Rechner!C27,MIN(Rechner!C33,300),0)+IF(9&lt;=Rechner!C28,MIN(Rechner!C33,300),0)+IF(9&lt;=Rechner!C29,MIN(Rechner!C33,300),0)),0)))*(1+Rechner!C21)</f>
        <v>27788.327864498333</v>
      </c>
      <c r="G61" s="67">
        <f>(F61)*Rechner!$C$13</f>
        <v>6947.0819661245832</v>
      </c>
      <c r="H61" s="69">
        <f t="shared" si="10"/>
        <v>20841.245898373749</v>
      </c>
    </row>
    <row r="62" spans="1:8" x14ac:dyDescent="0.2">
      <c r="A62" s="58">
        <v>10</v>
      </c>
      <c r="B62" s="59">
        <f t="shared" si="11"/>
        <v>2036</v>
      </c>
      <c r="C62" s="70">
        <f>Rechner!C6*12*10</f>
        <v>18000</v>
      </c>
      <c r="D62" s="70">
        <f>IF(Rechner!$C$33&gt;=120,
  IF(LEFT(Rechner!$C$18,2)="JA",
    MIN(0.5*MIN(Rechner!$C$33,360) + 0.25*MAX(MIN(Rechner!$C$33,1800)-360,0), 540),
    MIN(0.5*MIN(Rechner!$C$33,360) + 0.25*MAX(MIN(Rechner!$C$33,1800)-360,0), 175)
  ),0)</f>
        <v>540</v>
      </c>
      <c r="E62" s="70">
        <f>IF(Rechner!$C$33&gt;=120,
  IF(A62&lt;=Rechner!$C$25, MIN(Rechner!$C$33,MIN(300,Rechner!$C$6*12)), 0)
 +IF(A62&lt;=Rechner!$C$26, MIN(Rechner!$C$33,MIN(300,Rechner!$C$6*12)), 0)
 +IF(A62&lt;=Rechner!$C$27, MIN(Rechner!$C$33,MIN(300,Rechner!$C$6*12)), 0)
 +IF(A62&lt;=Rechner!$C$28, MIN(Rechner!$C$33,MIN(300,Rechner!$C$6*12)), 0)
 +IF(A62&lt;=Rechner!$C$29, MIN(Rechner!$C$33,MIN(300,Rechner!$C$6*12)), 0),0)</f>
        <v>0</v>
      </c>
      <c r="F62" s="71">
        <f>(F61+Rechner!C6*12+(IF(Rechner!C33&gt;=120,IF(LEFT(Rechner!C18,2)="JA",MIN(0.5*MIN(Rechner!C33,360)+0.25*MAX(MIN(Rechner!C33,1800)-360,0),540),MIN(0.5*MIN(Rechner!C33,360)+0.25*MAX(MIN(Rechner!C33,1800)-360,0),175)),0)+IF(Rechner!C33&gt;=120,(IF(10&lt;=Rechner!C25,MIN(Rechner!C33,300),0)+IF(10&lt;=Rechner!C26,MIN(Rechner!C33,300),0)+IF(10&lt;=Rechner!C27,MIN(Rechner!C33,300),0)+IF(10&lt;=Rechner!C28,MIN(Rechner!C33,300),0)+IF(10&lt;=Rechner!C29,MIN(Rechner!C33,300),0)),0)))*(1+Rechner!C21)</f>
        <v>31785.38589704574</v>
      </c>
      <c r="G62" s="70">
        <f>(F62)*Rechner!$C$13</f>
        <v>7946.3464742614351</v>
      </c>
      <c r="H62" s="69">
        <f t="shared" si="10"/>
        <v>23839.039422784306</v>
      </c>
    </row>
    <row r="63" spans="1:8" x14ac:dyDescent="0.2">
      <c r="A63" s="56">
        <v>11</v>
      </c>
      <c r="B63" s="57">
        <f t="shared" si="11"/>
        <v>2037</v>
      </c>
      <c r="C63" s="67">
        <f>Rechner!C6*12*11</f>
        <v>19800</v>
      </c>
      <c r="D63" s="67">
        <f>IF(Rechner!$C$33&gt;=120,
  IF(LEFT(Rechner!$C$18,2)="JA",
    MIN(0.5*MIN(Rechner!$C$33,360) + 0.25*MAX(MIN(Rechner!$C$33,1800)-360,0), 540),
    MIN(0.5*MIN(Rechner!$C$33,360) + 0.25*MAX(MIN(Rechner!$C$33,1800)-360,0), 175)
  ),0)</f>
        <v>540</v>
      </c>
      <c r="E63" s="67">
        <f>IF(Rechner!$C$33&gt;=120,
  IF(A63&lt;=Rechner!$C$25, MIN(Rechner!$C$33,MIN(300,Rechner!$C$6*12)), 0)
 +IF(A63&lt;=Rechner!$C$26, MIN(Rechner!$C$33,MIN(300,Rechner!$C$6*12)), 0)
 +IF(A63&lt;=Rechner!$C$27, MIN(Rechner!$C$33,MIN(300,Rechner!$C$6*12)), 0)
 +IF(A63&lt;=Rechner!$C$28, MIN(Rechner!$C$33,MIN(300,Rechner!$C$6*12)), 0)
 +IF(A63&lt;=Rechner!$C$29, MIN(Rechner!$C$33,MIN(300,Rechner!$C$6*12)), 0),0)</f>
        <v>0</v>
      </c>
      <c r="F63" s="68">
        <f>(F62+Rechner!C6*12+(IF(Rechner!C33&gt;=120,IF(LEFT(Rechner!C18,2)="JA",MIN(0.5*MIN(Rechner!C33,360)+0.25*MAX(MIN(Rechner!C33,1800)-360,0),540),MIN(0.5*MIN(Rechner!C33,360)+0.25*MAX(MIN(Rechner!C33,1800)-360,0),175)),0)+IF(Rechner!C33&gt;=120,(IF(11&lt;=Rechner!C25,MIN(Rechner!C33,300),0)+IF(11&lt;=Rechner!C26,MIN(Rechner!C33,300),0)+IF(11&lt;=Rechner!C27,MIN(Rechner!C33,300),0)+IF(11&lt;=Rechner!C28,MIN(Rechner!C33,300),0)+IF(11&lt;=Rechner!C29,MIN(Rechner!C33,300),0)),0)))*(1+Rechner!C21)</f>
        <v>36002.28212138325</v>
      </c>
      <c r="G63" s="67">
        <f>(F63)*Rechner!$C$13</f>
        <v>9000.5705303458126</v>
      </c>
      <c r="H63" s="69">
        <f t="shared" si="10"/>
        <v>27001.711591037438</v>
      </c>
    </row>
    <row r="64" spans="1:8" x14ac:dyDescent="0.2">
      <c r="A64" s="58">
        <v>12</v>
      </c>
      <c r="B64" s="59">
        <f t="shared" si="11"/>
        <v>2038</v>
      </c>
      <c r="C64" s="70">
        <f>Rechner!C6*12*12</f>
        <v>21600</v>
      </c>
      <c r="D64" s="70">
        <f>IF(Rechner!$C$33&gt;=120,
  IF(LEFT(Rechner!$C$18,2)="JA",
    MIN(0.5*MIN(Rechner!$C$33,360) + 0.25*MAX(MIN(Rechner!$C$33,1800)-360,0), 540),
    MIN(0.5*MIN(Rechner!$C$33,360) + 0.25*MAX(MIN(Rechner!$C$33,1800)-360,0), 175)
  ),0)</f>
        <v>540</v>
      </c>
      <c r="E64" s="70">
        <f>IF(Rechner!$C$33&gt;=120,
  IF(A64&lt;=Rechner!$C$25, MIN(Rechner!$C$33,MIN(300,Rechner!$C$6*12)), 0)
 +IF(A64&lt;=Rechner!$C$26, MIN(Rechner!$C$33,MIN(300,Rechner!$C$6*12)), 0)
 +IF(A64&lt;=Rechner!$C$27, MIN(Rechner!$C$33,MIN(300,Rechner!$C$6*12)), 0)
 +IF(A64&lt;=Rechner!$C$28, MIN(Rechner!$C$33,MIN(300,Rechner!$C$6*12)), 0)
 +IF(A64&lt;=Rechner!$C$29, MIN(Rechner!$C$33,MIN(300,Rechner!$C$6*12)), 0),0)</f>
        <v>0</v>
      </c>
      <c r="F64" s="71">
        <f>(F63+Rechner!C6*12+(IF(Rechner!C33&gt;=120,IF(LEFT(Rechner!C18,2)="JA",MIN(0.5*MIN(Rechner!C33,360)+0.25*MAX(MIN(Rechner!C33,1800)-360,0),540),MIN(0.5*MIN(Rechner!C33,360)+0.25*MAX(MIN(Rechner!C33,1800)-360,0),175)),0)+IF(Rechner!C33&gt;=120,(IF(12&lt;=Rechner!C25,MIN(Rechner!C33,300),0)+IF(12&lt;=Rechner!C26,MIN(Rechner!C33,300),0)+IF(12&lt;=Rechner!C27,MIN(Rechner!C33,300),0)+IF(12&lt;=Rechner!C28,MIN(Rechner!C33,300),0)+IF(12&lt;=Rechner!C29,MIN(Rechner!C33,300),0)),0)))*(1+Rechner!C21)</f>
        <v>40451.107638059329</v>
      </c>
      <c r="G64" s="70">
        <f>(F64)*Rechner!$C$13</f>
        <v>10112.776909514832</v>
      </c>
      <c r="H64" s="69">
        <f t="shared" si="10"/>
        <v>30338.330728544497</v>
      </c>
    </row>
    <row r="65" spans="1:8" x14ac:dyDescent="0.2">
      <c r="A65" s="56">
        <v>13</v>
      </c>
      <c r="B65" s="57">
        <f t="shared" si="11"/>
        <v>2039</v>
      </c>
      <c r="C65" s="67">
        <f>Rechner!C6*12*13</f>
        <v>23400</v>
      </c>
      <c r="D65" s="67">
        <f>IF(Rechner!$C$33&gt;=120,
  IF(LEFT(Rechner!$C$18,2)="JA",
    MIN(0.5*MIN(Rechner!$C$33,360) + 0.25*MAX(MIN(Rechner!$C$33,1800)-360,0), 540),
    MIN(0.5*MIN(Rechner!$C$33,360) + 0.25*MAX(MIN(Rechner!$C$33,1800)-360,0), 175)
  ),0)</f>
        <v>540</v>
      </c>
      <c r="E65" s="67">
        <f>IF(Rechner!$C$33&gt;=120,
  IF(A65&lt;=Rechner!$C$25, MIN(Rechner!$C$33,MIN(300,Rechner!$C$6*12)), 0)
 +IF(A65&lt;=Rechner!$C$26, MIN(Rechner!$C$33,MIN(300,Rechner!$C$6*12)), 0)
 +IF(A65&lt;=Rechner!$C$27, MIN(Rechner!$C$33,MIN(300,Rechner!$C$6*12)), 0)
 +IF(A65&lt;=Rechner!$C$28, MIN(Rechner!$C$33,MIN(300,Rechner!$C$6*12)), 0)
 +IF(A65&lt;=Rechner!$C$29, MIN(Rechner!$C$33,MIN(300,Rechner!$C$6*12)), 0),0)</f>
        <v>0</v>
      </c>
      <c r="F65" s="68">
        <f>(F64+Rechner!C6*12+(IF(Rechner!C33&gt;=120,IF(LEFT(Rechner!C18,2)="JA",MIN(0.5*MIN(Rechner!C33,360)+0.25*MAX(MIN(Rechner!C33,1800)-360,0),540),MIN(0.5*MIN(Rechner!C33,360)+0.25*MAX(MIN(Rechner!C33,1800)-360,0),175)),0)+IF(Rechner!C33&gt;=120,(IF(13&lt;=Rechner!C25,MIN(Rechner!C33,300),0)+IF(13&lt;=Rechner!C26,MIN(Rechner!C33,300),0)+IF(13&lt;=Rechner!C27,MIN(Rechner!C33,300),0)+IF(13&lt;=Rechner!C28,MIN(Rechner!C33,300),0)+IF(13&lt;=Rechner!C29,MIN(Rechner!C33,300),0)),0)))*(1+Rechner!C21)</f>
        <v>45144.618558152593</v>
      </c>
      <c r="G65" s="67">
        <f>(F65)*Rechner!$C$13</f>
        <v>11286.154639538148</v>
      </c>
      <c r="H65" s="69">
        <f t="shared" si="10"/>
        <v>33858.463918614449</v>
      </c>
    </row>
    <row r="66" spans="1:8" x14ac:dyDescent="0.2">
      <c r="A66" s="58">
        <v>14</v>
      </c>
      <c r="B66" s="59">
        <f t="shared" si="11"/>
        <v>2040</v>
      </c>
      <c r="C66" s="70">
        <f>Rechner!C6*12*14</f>
        <v>25200</v>
      </c>
      <c r="D66" s="70">
        <f>IF(Rechner!$C$33&gt;=120,
  IF(LEFT(Rechner!$C$18,2)="JA",
    MIN(0.5*MIN(Rechner!$C$33,360) + 0.25*MAX(MIN(Rechner!$C$33,1800)-360,0), 540),
    MIN(0.5*MIN(Rechner!$C$33,360) + 0.25*MAX(MIN(Rechner!$C$33,1800)-360,0), 175)
  ),0)</f>
        <v>540</v>
      </c>
      <c r="E66" s="70">
        <f>IF(Rechner!$C$33&gt;=120,
  IF(A66&lt;=Rechner!$C$25, MIN(Rechner!$C$33,MIN(300,Rechner!$C$6*12)), 0)
 +IF(A66&lt;=Rechner!$C$26, MIN(Rechner!$C$33,MIN(300,Rechner!$C$6*12)), 0)
 +IF(A66&lt;=Rechner!$C$27, MIN(Rechner!$C$33,MIN(300,Rechner!$C$6*12)), 0)
 +IF(A66&lt;=Rechner!$C$28, MIN(Rechner!$C$33,MIN(300,Rechner!$C$6*12)), 0)
 +IF(A66&lt;=Rechner!$C$29, MIN(Rechner!$C$33,MIN(300,Rechner!$C$6*12)), 0),0)</f>
        <v>0</v>
      </c>
      <c r="F66" s="71">
        <f>(F65+Rechner!C6*12+(IF(Rechner!C33&gt;=120,IF(LEFT(Rechner!C18,2)="JA",MIN(0.5*MIN(Rechner!C33,360)+0.25*MAX(MIN(Rechner!C33,1800)-360,0),540),MIN(0.5*MIN(Rechner!C33,360)+0.25*MAX(MIN(Rechner!C33,1800)-360,0),175)),0)+IF(Rechner!C33&gt;=120,(IF(14&lt;=Rechner!C25,MIN(Rechner!C33,300),0)+IF(14&lt;=Rechner!C26,MIN(Rechner!C33,300),0)+IF(14&lt;=Rechner!C27,MIN(Rechner!C33,300),0)+IF(14&lt;=Rechner!C28,MIN(Rechner!C33,300),0)+IF(14&lt;=Rechner!C29,MIN(Rechner!C33,300),0)),0)))*(1+Rechner!C21)</f>
        <v>50096.272578850985</v>
      </c>
      <c r="G66" s="70">
        <f>(F66)*Rechner!$C$13</f>
        <v>12524.068144712746</v>
      </c>
      <c r="H66" s="69">
        <f t="shared" si="10"/>
        <v>37572.204434138243</v>
      </c>
    </row>
    <row r="67" spans="1:8" x14ac:dyDescent="0.2">
      <c r="A67" s="56">
        <v>15</v>
      </c>
      <c r="B67" s="57">
        <f t="shared" si="11"/>
        <v>2041</v>
      </c>
      <c r="C67" s="67">
        <f>Rechner!C6*12*15</f>
        <v>27000</v>
      </c>
      <c r="D67" s="67">
        <f>IF(Rechner!$C$33&gt;=120,
  IF(LEFT(Rechner!$C$18,2)="JA",
    MIN(0.5*MIN(Rechner!$C$33,360) + 0.25*MAX(MIN(Rechner!$C$33,1800)-360,0), 540),
    MIN(0.5*MIN(Rechner!$C$33,360) + 0.25*MAX(MIN(Rechner!$C$33,1800)-360,0), 175)
  ),0)</f>
        <v>540</v>
      </c>
      <c r="E67" s="67">
        <f>IF(Rechner!$C$33&gt;=120,
  IF(A67&lt;=Rechner!$C$25, MIN(Rechner!$C$33,MIN(300,Rechner!$C$6*12)), 0)
 +IF(A67&lt;=Rechner!$C$26, MIN(Rechner!$C$33,MIN(300,Rechner!$C$6*12)), 0)
 +IF(A67&lt;=Rechner!$C$27, MIN(Rechner!$C$33,MIN(300,Rechner!$C$6*12)), 0)
 +IF(A67&lt;=Rechner!$C$28, MIN(Rechner!$C$33,MIN(300,Rechner!$C$6*12)), 0)
 +IF(A67&lt;=Rechner!$C$29, MIN(Rechner!$C$33,MIN(300,Rechner!$C$6*12)), 0),0)</f>
        <v>0</v>
      </c>
      <c r="F67" s="68">
        <f>(F66+Rechner!C6*12+(IF(Rechner!C33&gt;=120,IF(LEFT(Rechner!C18,2)="JA",MIN(0.5*MIN(Rechner!C33,360)+0.25*MAX(MIN(Rechner!C33,1800)-360,0),540),MIN(0.5*MIN(Rechner!C33,360)+0.25*MAX(MIN(Rechner!C33,1800)-360,0),175)),0)+IF(Rechner!C33&gt;=120,(IF(15&lt;=Rechner!C25,MIN(Rechner!C33,300),0)+IF(15&lt;=Rechner!C26,MIN(Rechner!C33,300),0)+IF(15&lt;=Rechner!C27,MIN(Rechner!C33,300),0)+IF(15&lt;=Rechner!C28,MIN(Rechner!C33,300),0)+IF(15&lt;=Rechner!C29,MIN(Rechner!C33,300),0)),0)))*(1+Rechner!C21)</f>
        <v>55320.267570687785</v>
      </c>
      <c r="G67" s="67">
        <f>(F67)*Rechner!$C$13</f>
        <v>13830.066892671946</v>
      </c>
      <c r="H67" s="69">
        <f t="shared" si="10"/>
        <v>41490.200678015841</v>
      </c>
    </row>
    <row r="68" spans="1:8" x14ac:dyDescent="0.2">
      <c r="A68" s="58">
        <v>16</v>
      </c>
      <c r="B68" s="59">
        <f t="shared" si="11"/>
        <v>2042</v>
      </c>
      <c r="C68" s="70">
        <f>Rechner!C6*12*16</f>
        <v>28800</v>
      </c>
      <c r="D68" s="70">
        <f>IF(Rechner!$C$33&gt;=120,
  IF(LEFT(Rechner!$C$18,2)="JA",
    MIN(0.5*MIN(Rechner!$C$33,360) + 0.25*MAX(MIN(Rechner!$C$33,1800)-360,0), 540),
    MIN(0.5*MIN(Rechner!$C$33,360) + 0.25*MAX(MIN(Rechner!$C$33,1800)-360,0), 175)
  ),0)</f>
        <v>540</v>
      </c>
      <c r="E68" s="70">
        <f>IF(Rechner!$C$33&gt;=120,
  IF(A68&lt;=Rechner!$C$25, MIN(Rechner!$C$33,MIN(300,Rechner!$C$6*12)), 0)
 +IF(A68&lt;=Rechner!$C$26, MIN(Rechner!$C$33,MIN(300,Rechner!$C$6*12)), 0)
 +IF(A68&lt;=Rechner!$C$27, MIN(Rechner!$C$33,MIN(300,Rechner!$C$6*12)), 0)
 +IF(A68&lt;=Rechner!$C$28, MIN(Rechner!$C$33,MIN(300,Rechner!$C$6*12)), 0)
 +IF(A68&lt;=Rechner!$C$29, MIN(Rechner!$C$33,MIN(300,Rechner!$C$6*12)), 0),0)</f>
        <v>0</v>
      </c>
      <c r="F68" s="71">
        <f>(F67+Rechner!C6*12+(IF(Rechner!C33&gt;=120,IF(LEFT(Rechner!C18,2)="JA",MIN(0.5*MIN(Rechner!C33,360)+0.25*MAX(MIN(Rechner!C33,1800)-360,0),540),MIN(0.5*MIN(Rechner!C33,360)+0.25*MAX(MIN(Rechner!C33,1800)-360,0),175)),0)+IF(Rechner!C33&gt;=120,(IF(16&lt;=Rechner!C25,MIN(Rechner!C33,300),0)+IF(16&lt;=Rechner!C26,MIN(Rechner!C33,300),0)+IF(16&lt;=Rechner!C27,MIN(Rechner!C33,300),0)+IF(16&lt;=Rechner!C28,MIN(Rechner!C33,300),0)+IF(16&lt;=Rechner!C29,MIN(Rechner!C33,300),0)),0)))*(1+Rechner!C21)</f>
        <v>60831.582287075609</v>
      </c>
      <c r="G68" s="70">
        <f>(F68)*Rechner!$C$13</f>
        <v>15207.895571768902</v>
      </c>
      <c r="H68" s="69">
        <f t="shared" si="10"/>
        <v>45623.686715306707</v>
      </c>
    </row>
    <row r="69" spans="1:8" x14ac:dyDescent="0.2">
      <c r="A69" s="56">
        <v>17</v>
      </c>
      <c r="B69" s="57">
        <f t="shared" si="11"/>
        <v>2043</v>
      </c>
      <c r="C69" s="67">
        <f>Rechner!C6*12*17</f>
        <v>30600</v>
      </c>
      <c r="D69" s="67">
        <f>IF(Rechner!$C$33&gt;=120,
  IF(LEFT(Rechner!$C$18,2)="JA",
    MIN(0.5*MIN(Rechner!$C$33,360) + 0.25*MAX(MIN(Rechner!$C$33,1800)-360,0), 540),
    MIN(0.5*MIN(Rechner!$C$33,360) + 0.25*MAX(MIN(Rechner!$C$33,1800)-360,0), 175)
  ),0)</f>
        <v>540</v>
      </c>
      <c r="E69" s="67">
        <f>IF(Rechner!$C$33&gt;=120,
  IF(A69&lt;=Rechner!$C$25, MIN(Rechner!$C$33,MIN(300,Rechner!$C$6*12)), 0)
 +IF(A69&lt;=Rechner!$C$26, MIN(Rechner!$C$33,MIN(300,Rechner!$C$6*12)), 0)
 +IF(A69&lt;=Rechner!$C$27, MIN(Rechner!$C$33,MIN(300,Rechner!$C$6*12)), 0)
 +IF(A69&lt;=Rechner!$C$28, MIN(Rechner!$C$33,MIN(300,Rechner!$C$6*12)), 0)
 +IF(A69&lt;=Rechner!$C$29, MIN(Rechner!$C$33,MIN(300,Rechner!$C$6*12)), 0),0)</f>
        <v>0</v>
      </c>
      <c r="F69" s="68">
        <f>(F68+Rechner!C6*12+(IF(Rechner!C33&gt;=120,IF(LEFT(Rechner!C18,2)="JA",MIN(0.5*MIN(Rechner!C33,360)+0.25*MAX(MIN(Rechner!C33,1800)-360,0),540),MIN(0.5*MIN(Rechner!C33,360)+0.25*MAX(MIN(Rechner!C33,1800)-360,0),175)),0)+IF(Rechner!C33&gt;=120,(IF(17&lt;=Rechner!C25,MIN(Rechner!C33,300),0)+IF(17&lt;=Rechner!C26,MIN(Rechner!C33,300),0)+IF(17&lt;=Rechner!C27,MIN(Rechner!C33,300),0)+IF(17&lt;=Rechner!C28,MIN(Rechner!C33,300),0)+IF(17&lt;=Rechner!C29,MIN(Rechner!C33,300),0)),0)))*(1+Rechner!C21)</f>
        <v>66646.019312864766</v>
      </c>
      <c r="G69" s="67">
        <f>(F69)*Rechner!$C$13</f>
        <v>16661.504828216192</v>
      </c>
      <c r="H69" s="69">
        <f t="shared" si="10"/>
        <v>49984.514484648578</v>
      </c>
    </row>
    <row r="70" spans="1:8" x14ac:dyDescent="0.2">
      <c r="A70" s="58">
        <v>18</v>
      </c>
      <c r="B70" s="59">
        <f t="shared" si="11"/>
        <v>2044</v>
      </c>
      <c r="C70" s="70">
        <f>Rechner!C6*12*18</f>
        <v>32400</v>
      </c>
      <c r="D70" s="70">
        <f>IF(Rechner!$C$33&gt;=120,
  IF(LEFT(Rechner!$C$18,2)="JA",
    MIN(0.5*MIN(Rechner!$C$33,360) + 0.25*MAX(MIN(Rechner!$C$33,1800)-360,0), 540),
    MIN(0.5*MIN(Rechner!$C$33,360) + 0.25*MAX(MIN(Rechner!$C$33,1800)-360,0), 175)
  ),0)</f>
        <v>540</v>
      </c>
      <c r="E70" s="70">
        <f>IF(Rechner!$C$33&gt;=120,
  IF(A70&lt;=Rechner!$C$25, MIN(Rechner!$C$33,MIN(300,Rechner!$C$6*12)), 0)
 +IF(A70&lt;=Rechner!$C$26, MIN(Rechner!$C$33,MIN(300,Rechner!$C$6*12)), 0)
 +IF(A70&lt;=Rechner!$C$27, MIN(Rechner!$C$33,MIN(300,Rechner!$C$6*12)), 0)
 +IF(A70&lt;=Rechner!$C$28, MIN(Rechner!$C$33,MIN(300,Rechner!$C$6*12)), 0)
 +IF(A70&lt;=Rechner!$C$29, MIN(Rechner!$C$33,MIN(300,Rechner!$C$6*12)), 0),0)</f>
        <v>0</v>
      </c>
      <c r="F70" s="71">
        <f>(F69+Rechner!C6*12+(IF(Rechner!C33&gt;=120,IF(LEFT(Rechner!C18,2)="JA",MIN(0.5*MIN(Rechner!C33,360)+0.25*MAX(MIN(Rechner!C33,1800)-360,0),540),MIN(0.5*MIN(Rechner!C33,360)+0.25*MAX(MIN(Rechner!C33,1800)-360,0),175)),0)+IF(Rechner!C33&gt;=120,(IF(18&lt;=Rechner!C25,MIN(Rechner!C33,300),0)+IF(18&lt;=Rechner!C26,MIN(Rechner!C33,300),0)+IF(18&lt;=Rechner!C27,MIN(Rechner!C33,300),0)+IF(18&lt;=Rechner!C28,MIN(Rechner!C33,300),0)+IF(18&lt;=Rechner!C29,MIN(Rechner!C33,300),0)),0)))*(1+Rechner!C21)</f>
        <v>72780.250375072326</v>
      </c>
      <c r="G70" s="70">
        <f>(F70)*Rechner!$C$13</f>
        <v>18195.062593768082</v>
      </c>
      <c r="H70" s="69">
        <f t="shared" si="10"/>
        <v>54585.187781304245</v>
      </c>
    </row>
    <row r="71" spans="1:8" x14ac:dyDescent="0.2">
      <c r="A71" s="56">
        <v>19</v>
      </c>
      <c r="B71" s="57">
        <f t="shared" si="11"/>
        <v>2045</v>
      </c>
      <c r="C71" s="67">
        <f>Rechner!C6*12*19</f>
        <v>34200</v>
      </c>
      <c r="D71" s="67">
        <f>IF(Rechner!$C$33&gt;=120,
  IF(LEFT(Rechner!$C$18,2)="JA",
    MIN(0.5*MIN(Rechner!$C$33,360) + 0.25*MAX(MIN(Rechner!$C$33,1800)-360,0), 540),
    MIN(0.5*MIN(Rechner!$C$33,360) + 0.25*MAX(MIN(Rechner!$C$33,1800)-360,0), 175)
  ),0)</f>
        <v>540</v>
      </c>
      <c r="E71" s="67">
        <f>IF(Rechner!$C$33&gt;=120,
  IF(A71&lt;=Rechner!$C$25, MIN(Rechner!$C$33,MIN(300,Rechner!$C$6*12)), 0)
 +IF(A71&lt;=Rechner!$C$26, MIN(Rechner!$C$33,MIN(300,Rechner!$C$6*12)), 0)
 +IF(A71&lt;=Rechner!$C$27, MIN(Rechner!$C$33,MIN(300,Rechner!$C$6*12)), 0)
 +IF(A71&lt;=Rechner!$C$28, MIN(Rechner!$C$33,MIN(300,Rechner!$C$6*12)), 0)
 +IF(A71&lt;=Rechner!$C$29, MIN(Rechner!$C$33,MIN(300,Rechner!$C$6*12)), 0),0)</f>
        <v>0</v>
      </c>
      <c r="F71" s="68">
        <f>(F70+Rechner!C6*12+(IF(Rechner!C33&gt;=120,IF(LEFT(Rechner!C18,2)="JA",MIN(0.5*MIN(Rechner!C33,360)+0.25*MAX(MIN(Rechner!C33,1800)-360,0),540),MIN(0.5*MIN(Rechner!C33,360)+0.25*MAX(MIN(Rechner!C33,1800)-360,0),175)),0)+IF(Rechner!C33&gt;=120,(IF(19&lt;=Rechner!C25,MIN(Rechner!C33,300),0)+IF(19&lt;=Rechner!C26,MIN(Rechner!C33,300),0)+IF(19&lt;=Rechner!C27,MIN(Rechner!C33,300),0)+IF(19&lt;=Rechner!C28,MIN(Rechner!C33,300),0)+IF(19&lt;=Rechner!C29,MIN(Rechner!C33,300),0)),0)))*(1+Rechner!C21)</f>
        <v>79251.8641457013</v>
      </c>
      <c r="G71" s="67">
        <f>(F71)*Rechner!$C$13</f>
        <v>19812.966036425325</v>
      </c>
      <c r="H71" s="69">
        <f t="shared" si="10"/>
        <v>59438.898109275979</v>
      </c>
    </row>
    <row r="72" spans="1:8" x14ac:dyDescent="0.2">
      <c r="A72" s="58">
        <v>20</v>
      </c>
      <c r="B72" s="59">
        <f t="shared" si="11"/>
        <v>2046</v>
      </c>
      <c r="C72" s="70">
        <f>Rechner!C6*12*20</f>
        <v>36000</v>
      </c>
      <c r="D72" s="70">
        <f>IF(Rechner!$C$33&gt;=120,
  IF(LEFT(Rechner!$C$18,2)="JA",
    MIN(0.5*MIN(Rechner!$C$33,360) + 0.25*MAX(MIN(Rechner!$C$33,1800)-360,0), 540),
    MIN(0.5*MIN(Rechner!$C$33,360) + 0.25*MAX(MIN(Rechner!$C$33,1800)-360,0), 175)
  ),0)</f>
        <v>540</v>
      </c>
      <c r="E72" s="70">
        <f>IF(Rechner!$C$33&gt;=120,
  IF(A72&lt;=Rechner!$C$25, MIN(Rechner!$C$33,MIN(300,Rechner!$C$6*12)), 0)
 +IF(A72&lt;=Rechner!$C$26, MIN(Rechner!$C$33,MIN(300,Rechner!$C$6*12)), 0)
 +IF(A72&lt;=Rechner!$C$27, MIN(Rechner!$C$33,MIN(300,Rechner!$C$6*12)), 0)
 +IF(A72&lt;=Rechner!$C$28, MIN(Rechner!$C$33,MIN(300,Rechner!$C$6*12)), 0)
 +IF(A72&lt;=Rechner!$C$29, MIN(Rechner!$C$33,MIN(300,Rechner!$C$6*12)), 0),0)</f>
        <v>0</v>
      </c>
      <c r="F72" s="71">
        <f>(F71+Rechner!C6*12+(IF(Rechner!C33&gt;=120,IF(LEFT(Rechner!C18,2)="JA",MIN(0.5*MIN(Rechner!C33,360)+0.25*MAX(MIN(Rechner!C33,1800)-360,0),540),MIN(0.5*MIN(Rechner!C33,360)+0.25*MAX(MIN(Rechner!C33,1800)-360,0),175)),0)+IF(Rechner!C33&gt;=120,(IF(20&lt;=Rechner!C25,MIN(Rechner!C33,300),0)+IF(20&lt;=Rechner!C26,MIN(Rechner!C33,300),0)+IF(20&lt;=Rechner!C27,MIN(Rechner!C33,300),0)+IF(20&lt;=Rechner!C28,MIN(Rechner!C33,300),0)+IF(20&lt;=Rechner!C29,MIN(Rechner!C33,300),0)),0)))*(1+Rechner!C21)</f>
        <v>86079.416673714863</v>
      </c>
      <c r="G72" s="70">
        <f>(F72)*Rechner!$C$13</f>
        <v>21519.854168428716</v>
      </c>
      <c r="H72" s="69">
        <f t="shared" si="10"/>
        <v>64559.562505286143</v>
      </c>
    </row>
    <row r="73" spans="1:8" x14ac:dyDescent="0.2">
      <c r="A73" s="56">
        <v>21</v>
      </c>
      <c r="B73" s="57">
        <f t="shared" si="11"/>
        <v>2047</v>
      </c>
      <c r="C73" s="67">
        <f>Rechner!C6*12*21</f>
        <v>37800</v>
      </c>
      <c r="D73" s="67">
        <f>IF(Rechner!$C$33&gt;=120,
  IF(LEFT(Rechner!$C$18,2)="JA",
    MIN(0.5*MIN(Rechner!$C$33,360) + 0.25*MAX(MIN(Rechner!$C$33,1800)-360,0), 540),
    MIN(0.5*MIN(Rechner!$C$33,360) + 0.25*MAX(MIN(Rechner!$C$33,1800)-360,0), 175)
  ),0)</f>
        <v>540</v>
      </c>
      <c r="E73" s="67">
        <f>IF(Rechner!$C$33&gt;=120,
  IF(A73&lt;=Rechner!$C$25, MIN(Rechner!$C$33,MIN(300,Rechner!$C$6*12)), 0)
 +IF(A73&lt;=Rechner!$C$26, MIN(Rechner!$C$33,MIN(300,Rechner!$C$6*12)), 0)
 +IF(A73&lt;=Rechner!$C$27, MIN(Rechner!$C$33,MIN(300,Rechner!$C$6*12)), 0)
 +IF(A73&lt;=Rechner!$C$28, MIN(Rechner!$C$33,MIN(300,Rechner!$C$6*12)), 0)
 +IF(A73&lt;=Rechner!$C$29, MIN(Rechner!$C$33,MIN(300,Rechner!$C$6*12)), 0),0)</f>
        <v>0</v>
      </c>
      <c r="F73" s="68">
        <f>(F72+Rechner!C6*12+(IF(Rechner!C33&gt;=120,IF(LEFT(Rechner!C18,2)="JA",MIN(0.5*MIN(Rechner!C33,360)+0.25*MAX(MIN(Rechner!C33,1800)-360,0),540),MIN(0.5*MIN(Rechner!C33,360)+0.25*MAX(MIN(Rechner!C33,1800)-360,0),175)),0)+IF(Rechner!C33&gt;=120,(IF(21&lt;=Rechner!C25,MIN(Rechner!C33,300),0)+IF(21&lt;=Rechner!C26,MIN(Rechner!C33,300),0)+IF(21&lt;=Rechner!C27,MIN(Rechner!C33,300),0)+IF(21&lt;=Rechner!C28,MIN(Rechner!C33,300),0)+IF(21&lt;=Rechner!C29,MIN(Rechner!C33,300),0)),0)))*(1+Rechner!C21)</f>
        <v>93282.484590769178</v>
      </c>
      <c r="G73" s="67">
        <f>(F73)*Rechner!$C$13</f>
        <v>23320.621147692294</v>
      </c>
      <c r="H73" s="69">
        <f t="shared" si="10"/>
        <v>69961.863443076887</v>
      </c>
    </row>
    <row r="74" spans="1:8" x14ac:dyDescent="0.2">
      <c r="A74" s="58">
        <v>22</v>
      </c>
      <c r="B74" s="59">
        <f t="shared" si="11"/>
        <v>2048</v>
      </c>
      <c r="C74" s="70">
        <f>Rechner!C6*12*22</f>
        <v>39600</v>
      </c>
      <c r="D74" s="70">
        <f>IF(Rechner!$C$33&gt;=120,
  IF(LEFT(Rechner!$C$18,2)="JA",
    MIN(0.5*MIN(Rechner!$C$33,360) + 0.25*MAX(MIN(Rechner!$C$33,1800)-360,0), 540),
    MIN(0.5*MIN(Rechner!$C$33,360) + 0.25*MAX(MIN(Rechner!$C$33,1800)-360,0), 175)
  ),0)</f>
        <v>540</v>
      </c>
      <c r="E74" s="70">
        <f>IF(Rechner!$C$33&gt;=120,
  IF(A74&lt;=Rechner!$C$25, MIN(Rechner!$C$33,MIN(300,Rechner!$C$6*12)), 0)
 +IF(A74&lt;=Rechner!$C$26, MIN(Rechner!$C$33,MIN(300,Rechner!$C$6*12)), 0)
 +IF(A74&lt;=Rechner!$C$27, MIN(Rechner!$C$33,MIN(300,Rechner!$C$6*12)), 0)
 +IF(A74&lt;=Rechner!$C$28, MIN(Rechner!$C$33,MIN(300,Rechner!$C$6*12)), 0)
 +IF(A74&lt;=Rechner!$C$29, MIN(Rechner!$C$33,MIN(300,Rechner!$C$6*12)), 0),0)</f>
        <v>0</v>
      </c>
      <c r="F74" s="71">
        <f>(F73+Rechner!C6*12+(IF(Rechner!C33&gt;=120,IF(LEFT(Rechner!C18,2)="JA",MIN(0.5*MIN(Rechner!C33,360)+0.25*MAX(MIN(Rechner!C33,1800)-360,0),540),MIN(0.5*MIN(Rechner!C33,360)+0.25*MAX(MIN(Rechner!C33,1800)-360,0),175)),0)+IF(Rechner!C33&gt;=120,(IF(22&lt;=Rechner!C25,MIN(Rechner!C33,300),0)+IF(22&lt;=Rechner!C26,MIN(Rechner!C33,300),0)+IF(22&lt;=Rechner!C27,MIN(Rechner!C33,300),0)+IF(22&lt;=Rechner!C28,MIN(Rechner!C33,300),0)+IF(22&lt;=Rechner!C29,MIN(Rechner!C33,300),0)),0)))*(1+Rechner!C21)</f>
        <v>100881.72124326148</v>
      </c>
      <c r="G74" s="70">
        <f>(F74)*Rechner!$C$13</f>
        <v>25220.430310815369</v>
      </c>
      <c r="H74" s="69">
        <f t="shared" si="10"/>
        <v>75661.290932446107</v>
      </c>
    </row>
    <row r="75" spans="1:8" x14ac:dyDescent="0.2">
      <c r="A75" s="56">
        <v>23</v>
      </c>
      <c r="B75" s="57">
        <f t="shared" si="11"/>
        <v>2049</v>
      </c>
      <c r="C75" s="67">
        <f>Rechner!C6*12*23</f>
        <v>41400</v>
      </c>
      <c r="D75" s="67">
        <f>IF(Rechner!$C$33&gt;=120,
  IF(LEFT(Rechner!$C$18,2)="JA",
    MIN(0.5*MIN(Rechner!$C$33,360) + 0.25*MAX(MIN(Rechner!$C$33,1800)-360,0), 540),
    MIN(0.5*MIN(Rechner!$C$33,360) + 0.25*MAX(MIN(Rechner!$C$33,1800)-360,0), 175)
  ),0)</f>
        <v>540</v>
      </c>
      <c r="E75" s="67">
        <f>IF(Rechner!$C$33&gt;=120,
  IF(A75&lt;=Rechner!$C$25, MIN(Rechner!$C$33,MIN(300,Rechner!$C$6*12)), 0)
 +IF(A75&lt;=Rechner!$C$26, MIN(Rechner!$C$33,MIN(300,Rechner!$C$6*12)), 0)
 +IF(A75&lt;=Rechner!$C$27, MIN(Rechner!$C$33,MIN(300,Rechner!$C$6*12)), 0)
 +IF(A75&lt;=Rechner!$C$28, MIN(Rechner!$C$33,MIN(300,Rechner!$C$6*12)), 0)
 +IF(A75&lt;=Rechner!$C$29, MIN(Rechner!$C$33,MIN(300,Rechner!$C$6*12)), 0),0)</f>
        <v>0</v>
      </c>
      <c r="F75" s="68">
        <f>(F74+Rechner!C6*12+(IF(Rechner!C33&gt;=120,IF(LEFT(Rechner!C18,2)="JA",MIN(0.5*MIN(Rechner!C33,360)+0.25*MAX(MIN(Rechner!C33,1800)-360,0),540),MIN(0.5*MIN(Rechner!C33,360)+0.25*MAX(MIN(Rechner!C33,1800)-360,0),175)),0)+IF(Rechner!C33&gt;=120,(IF(23&lt;=Rechner!C25,MIN(Rechner!C33,300),0)+IF(23&lt;=Rechner!C26,MIN(Rechner!C33,300),0)+IF(23&lt;=Rechner!C27,MIN(Rechner!C33,300),0)+IF(23&lt;=Rechner!C28,MIN(Rechner!C33,300),0)+IF(23&lt;=Rechner!C29,MIN(Rechner!C33,300),0)),0)))*(1+Rechner!C21)</f>
        <v>108898.91591164086</v>
      </c>
      <c r="G75" s="67">
        <f>(F75)*Rechner!$C$13</f>
        <v>27224.728977910214</v>
      </c>
      <c r="H75" s="69">
        <f t="shared" si="10"/>
        <v>81674.186933730642</v>
      </c>
    </row>
    <row r="76" spans="1:8" x14ac:dyDescent="0.2">
      <c r="A76" s="58">
        <v>24</v>
      </c>
      <c r="B76" s="59">
        <f t="shared" si="11"/>
        <v>2050</v>
      </c>
      <c r="C76" s="70">
        <f>Rechner!C6*12*24</f>
        <v>43200</v>
      </c>
      <c r="D76" s="70">
        <f>IF(Rechner!$C$33&gt;=120,
  IF(LEFT(Rechner!$C$18,2)="JA",
    MIN(0.5*MIN(Rechner!$C$33,360) + 0.25*MAX(MIN(Rechner!$C$33,1800)-360,0), 540),
    MIN(0.5*MIN(Rechner!$C$33,360) + 0.25*MAX(MIN(Rechner!$C$33,1800)-360,0), 175)
  ),0)</f>
        <v>540</v>
      </c>
      <c r="E76" s="70">
        <f>IF(Rechner!$C$33&gt;=120,
  IF(A76&lt;=Rechner!$C$25, MIN(Rechner!$C$33,MIN(300,Rechner!$C$6*12)), 0)
 +IF(A76&lt;=Rechner!$C$26, MIN(Rechner!$C$33,MIN(300,Rechner!$C$6*12)), 0)
 +IF(A76&lt;=Rechner!$C$27, MIN(Rechner!$C$33,MIN(300,Rechner!$C$6*12)), 0)
 +IF(A76&lt;=Rechner!$C$28, MIN(Rechner!$C$33,MIN(300,Rechner!$C$6*12)), 0)
 +IF(A76&lt;=Rechner!$C$29, MIN(Rechner!$C$33,MIN(300,Rechner!$C$6*12)), 0),0)</f>
        <v>0</v>
      </c>
      <c r="F76" s="71">
        <f>(F75+Rechner!C6*12+(IF(Rechner!C33&gt;=120,IF(LEFT(Rechner!C18,2)="JA",MIN(0.5*MIN(Rechner!C33,360)+0.25*MAX(MIN(Rechner!C33,1800)-360,0),540),MIN(0.5*MIN(Rechner!C33,360)+0.25*MAX(MIN(Rechner!C33,1800)-360,0),175)),0)+IF(Rechner!C33&gt;=120,(IF(24&lt;=Rechner!C25,MIN(Rechner!C33,300),0)+IF(24&lt;=Rechner!C26,MIN(Rechner!C33,300),0)+IF(24&lt;=Rechner!C27,MIN(Rechner!C33,300),0)+IF(24&lt;=Rechner!C28,MIN(Rechner!C33,300),0)+IF(24&lt;=Rechner!C29,MIN(Rechner!C33,300),0)),0)))*(1+Rechner!C21)</f>
        <v>117357.05628678109</v>
      </c>
      <c r="G76" s="70">
        <f>(F76)*Rechner!$C$13</f>
        <v>29339.264071695274</v>
      </c>
      <c r="H76" s="69">
        <f t="shared" si="10"/>
        <v>88017.792215085821</v>
      </c>
    </row>
    <row r="77" spans="1:8" x14ac:dyDescent="0.2">
      <c r="A77" s="56">
        <v>25</v>
      </c>
      <c r="B77" s="57">
        <f t="shared" si="11"/>
        <v>2051</v>
      </c>
      <c r="C77" s="67">
        <f>Rechner!C6*12*25</f>
        <v>45000</v>
      </c>
      <c r="D77" s="67">
        <f>IF(Rechner!$C$33&gt;=120,
  IF(LEFT(Rechner!$C$18,2)="JA",
    MIN(0.5*MIN(Rechner!$C$33,360) + 0.25*MAX(MIN(Rechner!$C$33,1800)-360,0), 540),
    MIN(0.5*MIN(Rechner!$C$33,360) + 0.25*MAX(MIN(Rechner!$C$33,1800)-360,0), 175)
  ),0)</f>
        <v>540</v>
      </c>
      <c r="E77" s="67">
        <f>IF(Rechner!$C$33&gt;=120,
  IF(A77&lt;=Rechner!$C$25, MIN(Rechner!$C$33,MIN(300,Rechner!$C$6*12)), 0)
 +IF(A77&lt;=Rechner!$C$26, MIN(Rechner!$C$33,MIN(300,Rechner!$C$6*12)), 0)
 +IF(A77&lt;=Rechner!$C$27, MIN(Rechner!$C$33,MIN(300,Rechner!$C$6*12)), 0)
 +IF(A77&lt;=Rechner!$C$28, MIN(Rechner!$C$33,MIN(300,Rechner!$C$6*12)), 0)
 +IF(A77&lt;=Rechner!$C$29, MIN(Rechner!$C$33,MIN(300,Rechner!$C$6*12)), 0),0)</f>
        <v>0</v>
      </c>
      <c r="F77" s="68">
        <f>(F76+Rechner!C6*12+(IF(Rechner!C33&gt;=120,IF(LEFT(Rechner!C18,2)="JA",MIN(0.5*MIN(Rechner!C33,360)+0.25*MAX(MIN(Rechner!C33,1800)-360,0),540),MIN(0.5*MIN(Rechner!C33,360)+0.25*MAX(MIN(Rechner!C33,1800)-360,0),175)),0)+IF(Rechner!C33&gt;=120,(IF(25&lt;=Rechner!C25,MIN(Rechner!C33,300),0)+IF(25&lt;=Rechner!C26,MIN(Rechner!C33,300),0)+IF(25&lt;=Rechner!C27,MIN(Rechner!C33,300),0)+IF(25&lt;=Rechner!C28,MIN(Rechner!C33,300),0)+IF(25&lt;=Rechner!C29,MIN(Rechner!C33,300),0)),0)))*(1+Rechner!C21)</f>
        <v>126280.39438255405</v>
      </c>
      <c r="G77" s="67">
        <f>(F77)*Rechner!$C$13</f>
        <v>31570.098595638512</v>
      </c>
      <c r="H77" s="69">
        <f t="shared" si="10"/>
        <v>94710.295786915536</v>
      </c>
    </row>
    <row r="78" spans="1:8" x14ac:dyDescent="0.2">
      <c r="A78" s="58">
        <v>26</v>
      </c>
      <c r="B78" s="59">
        <f t="shared" si="11"/>
        <v>2052</v>
      </c>
      <c r="C78" s="70">
        <f>Rechner!C6*12*26</f>
        <v>46800</v>
      </c>
      <c r="D78" s="70">
        <f>IF(Rechner!$C$33&gt;=120,
  IF(LEFT(Rechner!$C$18,2)="JA",
    MIN(0.5*MIN(Rechner!$C$33,360) + 0.25*MAX(MIN(Rechner!$C$33,1800)-360,0), 540),
    MIN(0.5*MIN(Rechner!$C$33,360) + 0.25*MAX(MIN(Rechner!$C$33,1800)-360,0), 175)
  ),0)</f>
        <v>540</v>
      </c>
      <c r="E78" s="70">
        <f>IF(Rechner!$C$33&gt;=120,
  IF(A78&lt;=Rechner!$C$25, MIN(Rechner!$C$33,MIN(300,Rechner!$C$6*12)), 0)
 +IF(A78&lt;=Rechner!$C$26, MIN(Rechner!$C$33,MIN(300,Rechner!$C$6*12)), 0)
 +IF(A78&lt;=Rechner!$C$27, MIN(Rechner!$C$33,MIN(300,Rechner!$C$6*12)), 0)
 +IF(A78&lt;=Rechner!$C$28, MIN(Rechner!$C$33,MIN(300,Rechner!$C$6*12)), 0)
 +IF(A78&lt;=Rechner!$C$29, MIN(Rechner!$C$33,MIN(300,Rechner!$C$6*12)), 0),0)</f>
        <v>0</v>
      </c>
      <c r="F78" s="71">
        <f>(F77+Rechner!C6*12+(IF(Rechner!C33&gt;=120,IF(LEFT(Rechner!C18,2)="JA",MIN(0.5*MIN(Rechner!C33,360)+0.25*MAX(MIN(Rechner!C33,1800)-360,0),540),MIN(0.5*MIN(Rechner!C33,360)+0.25*MAX(MIN(Rechner!C33,1800)-360,0),175)),0)+IF(Rechner!C33&gt;=120,(IF(26&lt;=Rechner!C25,MIN(Rechner!C33,300),0)+IF(26&lt;=Rechner!C26,MIN(Rechner!C33,300),0)+IF(26&lt;=Rechner!C27,MIN(Rechner!C33,300),0)+IF(26&lt;=Rechner!C28,MIN(Rechner!C33,300),0)+IF(26&lt;=Rechner!C29,MIN(Rechner!C33,300),0)),0)))*(1+Rechner!C21)</f>
        <v>135694.51607359451</v>
      </c>
      <c r="G78" s="70">
        <f>(F78)*Rechner!$C$13</f>
        <v>33923.629018398628</v>
      </c>
      <c r="H78" s="69">
        <f t="shared" si="10"/>
        <v>101770.88705519588</v>
      </c>
    </row>
    <row r="79" spans="1:8" x14ac:dyDescent="0.2">
      <c r="A79" s="56">
        <v>27</v>
      </c>
      <c r="B79" s="57">
        <f t="shared" si="11"/>
        <v>2053</v>
      </c>
      <c r="C79" s="67">
        <f>Rechner!C6*12*27</f>
        <v>48600</v>
      </c>
      <c r="D79" s="67">
        <f>IF(Rechner!$C$33&gt;=120,
  IF(LEFT(Rechner!$C$18,2)="JA",
    MIN(0.5*MIN(Rechner!$C$33,360) + 0.25*MAX(MIN(Rechner!$C$33,1800)-360,0), 540),
    MIN(0.5*MIN(Rechner!$C$33,360) + 0.25*MAX(MIN(Rechner!$C$33,1800)-360,0), 175)
  ),0)</f>
        <v>540</v>
      </c>
      <c r="E79" s="67">
        <f>IF(Rechner!$C$33&gt;=120,
  IF(A79&lt;=Rechner!$C$25, MIN(Rechner!$C$33,MIN(300,Rechner!$C$6*12)), 0)
 +IF(A79&lt;=Rechner!$C$26, MIN(Rechner!$C$33,MIN(300,Rechner!$C$6*12)), 0)
 +IF(A79&lt;=Rechner!$C$27, MIN(Rechner!$C$33,MIN(300,Rechner!$C$6*12)), 0)
 +IF(A79&lt;=Rechner!$C$28, MIN(Rechner!$C$33,MIN(300,Rechner!$C$6*12)), 0)
 +IF(A79&lt;=Rechner!$C$29, MIN(Rechner!$C$33,MIN(300,Rechner!$C$6*12)), 0),0)</f>
        <v>0</v>
      </c>
      <c r="F79" s="68">
        <f>(F78+Rechner!C6*12+(IF(Rechner!C33&gt;=120,IF(LEFT(Rechner!C18,2)="JA",MIN(0.5*MIN(Rechner!C33,360)+0.25*MAX(MIN(Rechner!C33,1800)-360,0),540),MIN(0.5*MIN(Rechner!C33,360)+0.25*MAX(MIN(Rechner!C33,1800)-360,0),175)),0)+IF(Rechner!C33&gt;=120,(IF(27&lt;=Rechner!C25,MIN(Rechner!C33,300),0)+IF(27&lt;=Rechner!C26,MIN(Rechner!C33,300),0)+IF(27&lt;=Rechner!C27,MIN(Rechner!C33,300),0)+IF(27&lt;=Rechner!C28,MIN(Rechner!C33,300),0)+IF(27&lt;=Rechner!C29,MIN(Rechner!C33,300),0)),0)))*(1+Rechner!C21)</f>
        <v>145626.41445764221</v>
      </c>
      <c r="G79" s="67">
        <f>(F79)*Rechner!$C$13</f>
        <v>36406.603614410553</v>
      </c>
      <c r="H79" s="69">
        <f t="shared" si="10"/>
        <v>109219.81084323165</v>
      </c>
    </row>
    <row r="80" spans="1:8" x14ac:dyDescent="0.2">
      <c r="A80" s="58">
        <v>28</v>
      </c>
      <c r="B80" s="59">
        <f t="shared" si="11"/>
        <v>2054</v>
      </c>
      <c r="C80" s="70">
        <f>Rechner!C6*12*28</f>
        <v>50400</v>
      </c>
      <c r="D80" s="70">
        <f>IF(Rechner!$C$33&gt;=120,
  IF(LEFT(Rechner!$C$18,2)="JA",
    MIN(0.5*MIN(Rechner!$C$33,360) + 0.25*MAX(MIN(Rechner!$C$33,1800)-360,0), 540),
    MIN(0.5*MIN(Rechner!$C$33,360) + 0.25*MAX(MIN(Rechner!$C$33,1800)-360,0), 175)
  ),0)</f>
        <v>540</v>
      </c>
      <c r="E80" s="70">
        <f>IF(Rechner!$C$33&gt;=120,
  IF(A80&lt;=Rechner!$C$25, MIN(Rechner!$C$33,MIN(300,Rechner!$C$6*12)), 0)
 +IF(A80&lt;=Rechner!$C$26, MIN(Rechner!$C$33,MIN(300,Rechner!$C$6*12)), 0)
 +IF(A80&lt;=Rechner!$C$27, MIN(Rechner!$C$33,MIN(300,Rechner!$C$6*12)), 0)
 +IF(A80&lt;=Rechner!$C$28, MIN(Rechner!$C$33,MIN(300,Rechner!$C$6*12)), 0)
 +IF(A80&lt;=Rechner!$C$29, MIN(Rechner!$C$33,MIN(300,Rechner!$C$6*12)), 0),0)</f>
        <v>0</v>
      </c>
      <c r="F80" s="71">
        <f>(F79+Rechner!C6*12+(IF(Rechner!C33&gt;=120,IF(LEFT(Rechner!C18,2)="JA",MIN(0.5*MIN(Rechner!C33,360)+0.25*MAX(MIN(Rechner!C33,1800)-360,0),540),MIN(0.5*MIN(Rechner!C33,360)+0.25*MAX(MIN(Rechner!C33,1800)-360,0),175)),0)+IF(Rechner!C33&gt;=120,(IF(28&lt;=Rechner!C25,MIN(Rechner!C33,300),0)+IF(28&lt;=Rechner!C26,MIN(Rechner!C33,300),0)+IF(28&lt;=Rechner!C27,MIN(Rechner!C33,300),0)+IF(28&lt;=Rechner!C28,MIN(Rechner!C33,300),0)+IF(28&lt;=Rechner!C29,MIN(Rechner!C33,300),0)),0)))*(1+Rechner!C21)</f>
        <v>156104.56725281253</v>
      </c>
      <c r="G80" s="70">
        <f>(F80)*Rechner!$C$13</f>
        <v>39026.141813203132</v>
      </c>
      <c r="H80" s="69">
        <f t="shared" si="10"/>
        <v>117078.42543960939</v>
      </c>
    </row>
    <row r="81" spans="1:8" x14ac:dyDescent="0.2">
      <c r="A81" s="56">
        <v>29</v>
      </c>
      <c r="B81" s="57">
        <f t="shared" si="11"/>
        <v>2055</v>
      </c>
      <c r="C81" s="67">
        <f>Rechner!C6*12*29</f>
        <v>52200</v>
      </c>
      <c r="D81" s="67">
        <f>IF(Rechner!$C$33&gt;=120,
  IF(LEFT(Rechner!$C$18,2)="JA",
    MIN(0.5*MIN(Rechner!$C$33,360) + 0.25*MAX(MIN(Rechner!$C$33,1800)-360,0), 540),
    MIN(0.5*MIN(Rechner!$C$33,360) + 0.25*MAX(MIN(Rechner!$C$33,1800)-360,0), 175)
  ),0)</f>
        <v>540</v>
      </c>
      <c r="E81" s="67">
        <f>IF(Rechner!$C$33&gt;=120,
  IF(A81&lt;=Rechner!$C$25, MIN(Rechner!$C$33,MIN(300,Rechner!$C$6*12)), 0)
 +IF(A81&lt;=Rechner!$C$26, MIN(Rechner!$C$33,MIN(300,Rechner!$C$6*12)), 0)
 +IF(A81&lt;=Rechner!$C$27, MIN(Rechner!$C$33,MIN(300,Rechner!$C$6*12)), 0)
 +IF(A81&lt;=Rechner!$C$28, MIN(Rechner!$C$33,MIN(300,Rechner!$C$6*12)), 0)
 +IF(A81&lt;=Rechner!$C$29, MIN(Rechner!$C$33,MIN(300,Rechner!$C$6*12)), 0),0)</f>
        <v>0</v>
      </c>
      <c r="F81" s="68">
        <f>(F80+Rechner!C6*12+(IF(Rechner!C33&gt;=120,IF(LEFT(Rechner!C18,2)="JA",MIN(0.5*MIN(Rechner!C33,360)+0.25*MAX(MIN(Rechner!C33,1800)-360,0),540),MIN(0.5*MIN(Rechner!C33,360)+0.25*MAX(MIN(Rechner!C33,1800)-360,0),175)),0)+IF(Rechner!C33&gt;=120,(IF(29&lt;=Rechner!C25,MIN(Rechner!C33,300),0)+IF(29&lt;=Rechner!C26,MIN(Rechner!C33,300),0)+IF(29&lt;=Rechner!C27,MIN(Rechner!C33,300),0)+IF(29&lt;=Rechner!C28,MIN(Rechner!C33,300),0)+IF(29&lt;=Rechner!C29,MIN(Rechner!C33,300),0)),0)))*(1+Rechner!C21)</f>
        <v>167159.01845171722</v>
      </c>
      <c r="G81" s="67">
        <f>(F81)*Rechner!$C$13</f>
        <v>41789.754612929304</v>
      </c>
      <c r="H81" s="69">
        <f t="shared" si="10"/>
        <v>125369.26383878791</v>
      </c>
    </row>
    <row r="82" spans="1:8" x14ac:dyDescent="0.2">
      <c r="A82" s="58">
        <v>30</v>
      </c>
      <c r="B82" s="59">
        <f t="shared" si="11"/>
        <v>2056</v>
      </c>
      <c r="C82" s="70">
        <f>Rechner!C6*12*30</f>
        <v>54000</v>
      </c>
      <c r="D82" s="70">
        <f>IF(Rechner!$C$33&gt;=120,
  IF(LEFT(Rechner!$C$18,2)="JA",
    MIN(0.5*MIN(Rechner!$C$33,360) + 0.25*MAX(MIN(Rechner!$C$33,1800)-360,0), 540),
    MIN(0.5*MIN(Rechner!$C$33,360) + 0.25*MAX(MIN(Rechner!$C$33,1800)-360,0), 175)
  ),0)</f>
        <v>540</v>
      </c>
      <c r="E82" s="70">
        <f>IF(Rechner!$C$33&gt;=120,
  IF(A82&lt;=Rechner!$C$25, MIN(Rechner!$C$33,MIN(300,Rechner!$C$6*12)), 0)
 +IF(A82&lt;=Rechner!$C$26, MIN(Rechner!$C$33,MIN(300,Rechner!$C$6*12)), 0)
 +IF(A82&lt;=Rechner!$C$27, MIN(Rechner!$C$33,MIN(300,Rechner!$C$6*12)), 0)
 +IF(A82&lt;=Rechner!$C$28, MIN(Rechner!$C$33,MIN(300,Rechner!$C$6*12)), 0)
 +IF(A82&lt;=Rechner!$C$29, MIN(Rechner!$C$33,MIN(300,Rechner!$C$6*12)), 0),0)</f>
        <v>0</v>
      </c>
      <c r="F82" s="71">
        <f>(F81+Rechner!C6*12+(IF(Rechner!C33&gt;=120,IF(LEFT(Rechner!C18,2)="JA",MIN(0.5*MIN(Rechner!C33,360)+0.25*MAX(MIN(Rechner!C33,1800)-360,0),540),MIN(0.5*MIN(Rechner!C33,360)+0.25*MAX(MIN(Rechner!C33,1800)-360,0),175)),0)+IF(Rechner!C33&gt;=120,(IF(30&lt;=Rechner!C25,MIN(Rechner!C33,300),0)+IF(30&lt;=Rechner!C26,MIN(Rechner!C33,300),0)+IF(30&lt;=Rechner!C27,MIN(Rechner!C33,300),0)+IF(30&lt;=Rechner!C28,MIN(Rechner!C33,300),0)+IF(30&lt;=Rechner!C29,MIN(Rechner!C33,300),0)),0)))*(1+Rechner!C21)</f>
        <v>178821.46446656165</v>
      </c>
      <c r="G82" s="70">
        <f>(F82)*Rechner!$C$13</f>
        <v>44705.366116640413</v>
      </c>
      <c r="H82" s="69">
        <f t="shared" si="10"/>
        <v>134116.09834992123</v>
      </c>
    </row>
    <row r="83" spans="1:8" x14ac:dyDescent="0.2">
      <c r="A83" s="56">
        <v>31</v>
      </c>
      <c r="B83" s="57">
        <f t="shared" si="11"/>
        <v>2057</v>
      </c>
      <c r="C83" s="67">
        <f>Rechner!C6*12*31</f>
        <v>55800</v>
      </c>
      <c r="D83" s="67">
        <f>IF(Rechner!$C$33&gt;=120,
  IF(LEFT(Rechner!$C$18,2)="JA",
    MIN(0.5*MIN(Rechner!$C$33,360) + 0.25*MAX(MIN(Rechner!$C$33,1800)-360,0), 540),
    MIN(0.5*MIN(Rechner!$C$33,360) + 0.25*MAX(MIN(Rechner!$C$33,1800)-360,0), 175)
  ),0)</f>
        <v>540</v>
      </c>
      <c r="E83" s="67">
        <f>IF(Rechner!$C$33&gt;=120,
  IF(A83&lt;=Rechner!$C$25, MIN(Rechner!$C$33,MIN(300,Rechner!$C$6*12)), 0)
 +IF(A83&lt;=Rechner!$C$26, MIN(Rechner!$C$33,MIN(300,Rechner!$C$6*12)), 0)
 +IF(A83&lt;=Rechner!$C$27, MIN(Rechner!$C$33,MIN(300,Rechner!$C$6*12)), 0)
 +IF(A83&lt;=Rechner!$C$28, MIN(Rechner!$C$33,MIN(300,Rechner!$C$6*12)), 0)
 +IF(A83&lt;=Rechner!$C$29, MIN(Rechner!$C$33,MIN(300,Rechner!$C$6*12)), 0),0)</f>
        <v>0</v>
      </c>
      <c r="F83" s="68">
        <f>(F82+Rechner!C6*12+(IF(Rechner!C33&gt;=120,IF(LEFT(Rechner!C18,2)="JA",MIN(0.5*MIN(Rechner!C33,360)+0.25*MAX(MIN(Rechner!C33,1800)-360,0),540),MIN(0.5*MIN(Rechner!C33,360)+0.25*MAX(MIN(Rechner!C33,1800)-360,0),175)),0)+IF(Rechner!C33&gt;=120,(IF(31&lt;=Rechner!C25,MIN(Rechner!C33,300),0)+IF(31&lt;=Rechner!C26,MIN(Rechner!C33,300),0)+IF(31&lt;=Rechner!C27,MIN(Rechner!C33,300),0)+IF(31&lt;=Rechner!C28,MIN(Rechner!C33,300),0)+IF(31&lt;=Rechner!C29,MIN(Rechner!C33,300),0)),0)))*(1+Rechner!C21)</f>
        <v>191125.34501222253</v>
      </c>
      <c r="G83" s="67">
        <f>(F83)*Rechner!$C$13</f>
        <v>47781.336253055633</v>
      </c>
      <c r="H83" s="69">
        <f t="shared" si="10"/>
        <v>143344.0087591669</v>
      </c>
    </row>
    <row r="84" spans="1:8" x14ac:dyDescent="0.2">
      <c r="A84" s="58">
        <v>32</v>
      </c>
      <c r="B84" s="59">
        <f t="shared" si="11"/>
        <v>2058</v>
      </c>
      <c r="C84" s="70">
        <f>Rechner!C6*12*32</f>
        <v>57600</v>
      </c>
      <c r="D84" s="70">
        <f>IF(Rechner!$C$33&gt;=120,
  IF(LEFT(Rechner!$C$18,2)="JA",
    MIN(0.5*MIN(Rechner!$C$33,360) + 0.25*MAX(MIN(Rechner!$C$33,1800)-360,0), 540),
    MIN(0.5*MIN(Rechner!$C$33,360) + 0.25*MAX(MIN(Rechner!$C$33,1800)-360,0), 175)
  ),0)</f>
        <v>540</v>
      </c>
      <c r="E84" s="70">
        <f>IF(Rechner!$C$33&gt;=120,
  IF(A84&lt;=Rechner!$C$25, MIN(Rechner!$C$33,MIN(300,Rechner!$C$6*12)), 0)
 +IF(A84&lt;=Rechner!$C$26, MIN(Rechner!$C$33,MIN(300,Rechner!$C$6*12)), 0)
 +IF(A84&lt;=Rechner!$C$27, MIN(Rechner!$C$33,MIN(300,Rechner!$C$6*12)), 0)
 +IF(A84&lt;=Rechner!$C$28, MIN(Rechner!$C$33,MIN(300,Rechner!$C$6*12)), 0)
 +IF(A84&lt;=Rechner!$C$29, MIN(Rechner!$C$33,MIN(300,Rechner!$C$6*12)), 0),0)</f>
        <v>0</v>
      </c>
      <c r="F84" s="71">
        <f>(F83+Rechner!C6*12+(IF(Rechner!C33&gt;=120,IF(LEFT(Rechner!C18,2)="JA",MIN(0.5*MIN(Rechner!C33,360)+0.25*MAX(MIN(Rechner!C33,1800)-360,0),540),MIN(0.5*MIN(Rechner!C33,360)+0.25*MAX(MIN(Rechner!C33,1800)-360,0),175)),0)+IF(Rechner!C33&gt;=120,(IF(32&lt;=Rechner!C25,MIN(Rechner!C33,300),0)+IF(32&lt;=Rechner!C26,MIN(Rechner!C33,300),0)+IF(32&lt;=Rechner!C27,MIN(Rechner!C33,300),0)+IF(32&lt;=Rechner!C28,MIN(Rechner!C33,300),0)+IF(32&lt;=Rechner!C29,MIN(Rechner!C33,300),0)),0)))*(1+Rechner!C21)</f>
        <v>204105.93898789477</v>
      </c>
      <c r="G84" s="70">
        <f>(F84)*Rechner!$C$13</f>
        <v>51026.484746973692</v>
      </c>
      <c r="H84" s="69">
        <f t="shared" si="10"/>
        <v>153079.45424092107</v>
      </c>
    </row>
    <row r="85" spans="1:8" x14ac:dyDescent="0.2">
      <c r="A85" s="56">
        <v>33</v>
      </c>
      <c r="B85" s="57">
        <f t="shared" si="11"/>
        <v>2059</v>
      </c>
      <c r="C85" s="67">
        <f>Rechner!C6*12*33</f>
        <v>59400</v>
      </c>
      <c r="D85" s="67">
        <f>IF(Rechner!$C$33&gt;=120,
  IF(LEFT(Rechner!$C$18,2)="JA",
    MIN(0.5*MIN(Rechner!$C$33,360) + 0.25*MAX(MIN(Rechner!$C$33,1800)-360,0), 540),
    MIN(0.5*MIN(Rechner!$C$33,360) + 0.25*MAX(MIN(Rechner!$C$33,1800)-360,0), 175)
  ),0)</f>
        <v>540</v>
      </c>
      <c r="E85" s="67">
        <f>IF(Rechner!$C$33&gt;=120,
  IF(A85&lt;=Rechner!$C$25, MIN(Rechner!$C$33,MIN(300,Rechner!$C$6*12)), 0)
 +IF(A85&lt;=Rechner!$C$26, MIN(Rechner!$C$33,MIN(300,Rechner!$C$6*12)), 0)
 +IF(A85&lt;=Rechner!$C$27, MIN(Rechner!$C$33,MIN(300,Rechner!$C$6*12)), 0)
 +IF(A85&lt;=Rechner!$C$28, MIN(Rechner!$C$33,MIN(300,Rechner!$C$6*12)), 0)
 +IF(A85&lt;=Rechner!$C$29, MIN(Rechner!$C$33,MIN(300,Rechner!$C$6*12)), 0),0)</f>
        <v>0</v>
      </c>
      <c r="F85" s="68">
        <f>(F84+Rechner!C6*12+(IF(Rechner!C33&gt;=120,IF(LEFT(Rechner!C18,2)="JA",MIN(0.5*MIN(Rechner!C33,360)+0.25*MAX(MIN(Rechner!C33,1800)-360,0),540),MIN(0.5*MIN(Rechner!C33,360)+0.25*MAX(MIN(Rechner!C33,1800)-360,0),175)),0)+IF(Rechner!C33&gt;=120,(IF(33&lt;=Rechner!C25,MIN(Rechner!C33,300),0)+IF(33&lt;=Rechner!C26,MIN(Rechner!C33,300),0)+IF(33&lt;=Rechner!C27,MIN(Rechner!C33,300),0)+IF(33&lt;=Rechner!C28,MIN(Rechner!C33,300),0)+IF(33&lt;=Rechner!C29,MIN(Rechner!C33,300),0)),0)))*(1+Rechner!C21)</f>
        <v>217800.46563222897</v>
      </c>
      <c r="G85" s="67">
        <f>(F85)*Rechner!$C$13</f>
        <v>54450.116408057242</v>
      </c>
      <c r="H85" s="69">
        <f t="shared" si="10"/>
        <v>163350.34922417172</v>
      </c>
    </row>
    <row r="86" spans="1:8" x14ac:dyDescent="0.2">
      <c r="A86" s="58">
        <v>34</v>
      </c>
      <c r="B86" s="59">
        <f t="shared" si="11"/>
        <v>2060</v>
      </c>
      <c r="C86" s="70">
        <f>Rechner!C6*12*34</f>
        <v>61200</v>
      </c>
      <c r="D86" s="70">
        <f>IF(Rechner!$C$33&gt;=120,
  IF(LEFT(Rechner!$C$18,2)="JA",
    MIN(0.5*MIN(Rechner!$C$33,360) + 0.25*MAX(MIN(Rechner!$C$33,1800)-360,0), 540),
    MIN(0.5*MIN(Rechner!$C$33,360) + 0.25*MAX(MIN(Rechner!$C$33,1800)-360,0), 175)
  ),0)</f>
        <v>540</v>
      </c>
      <c r="E86" s="70">
        <f>IF(Rechner!$C$33&gt;=120,
  IF(A86&lt;=Rechner!$C$25, MIN(Rechner!$C$33,MIN(300,Rechner!$C$6*12)), 0)
 +IF(A86&lt;=Rechner!$C$26, MIN(Rechner!$C$33,MIN(300,Rechner!$C$6*12)), 0)
 +IF(A86&lt;=Rechner!$C$27, MIN(Rechner!$C$33,MIN(300,Rechner!$C$6*12)), 0)
 +IF(A86&lt;=Rechner!$C$28, MIN(Rechner!$C$33,MIN(300,Rechner!$C$6*12)), 0)
 +IF(A86&lt;=Rechner!$C$29, MIN(Rechner!$C$33,MIN(300,Rechner!$C$6*12)), 0),0)</f>
        <v>0</v>
      </c>
      <c r="F86" s="71">
        <f>(F85+Rechner!C6*12+(IF(Rechner!C33&gt;=120,IF(LEFT(Rechner!C18,2)="JA",MIN(0.5*MIN(Rechner!C33,360)+0.25*MAX(MIN(Rechner!C33,1800)-360,0),540),MIN(0.5*MIN(Rechner!C33,360)+0.25*MAX(MIN(Rechner!C33,1800)-360,0),175)),0)+IF(Rechner!C33&gt;=120,(IF(34&lt;=Rechner!C25,MIN(Rechner!C33,300),0)+IF(34&lt;=Rechner!C26,MIN(Rechner!C33,300),0)+IF(34&lt;=Rechner!C27,MIN(Rechner!C33,300),0)+IF(34&lt;=Rechner!C28,MIN(Rechner!C33,300),0)+IF(34&lt;=Rechner!C29,MIN(Rechner!C33,300),0)),0)))*(1+Rechner!C21)</f>
        <v>232248.19124200154</v>
      </c>
      <c r="G86" s="70">
        <f>(F86)*Rechner!$C$13</f>
        <v>58062.047810500386</v>
      </c>
      <c r="H86" s="69">
        <f t="shared" si="10"/>
        <v>174186.14343150117</v>
      </c>
    </row>
    <row r="87" spans="1:8" x14ac:dyDescent="0.2">
      <c r="A87" s="56">
        <v>35</v>
      </c>
      <c r="B87" s="57">
        <f t="shared" si="11"/>
        <v>2061</v>
      </c>
      <c r="C87" s="67">
        <f>Rechner!C6*12*35</f>
        <v>63000</v>
      </c>
      <c r="D87" s="67">
        <f>IF(Rechner!$C$33&gt;=120,
  IF(LEFT(Rechner!$C$18,2)="JA",
    MIN(0.5*MIN(Rechner!$C$33,360) + 0.25*MAX(MIN(Rechner!$C$33,1800)-360,0), 540),
    MIN(0.5*MIN(Rechner!$C$33,360) + 0.25*MAX(MIN(Rechner!$C$33,1800)-360,0), 175)
  ),0)</f>
        <v>540</v>
      </c>
      <c r="E87" s="67">
        <f>IF(Rechner!$C$33&gt;=120,
  IF(A87&lt;=Rechner!$C$25, MIN(Rechner!$C$33,MIN(300,Rechner!$C$6*12)), 0)
 +IF(A87&lt;=Rechner!$C$26, MIN(Rechner!$C$33,MIN(300,Rechner!$C$6*12)), 0)
 +IF(A87&lt;=Rechner!$C$27, MIN(Rechner!$C$33,MIN(300,Rechner!$C$6*12)), 0)
 +IF(A87&lt;=Rechner!$C$28, MIN(Rechner!$C$33,MIN(300,Rechner!$C$6*12)), 0)
 +IF(A87&lt;=Rechner!$C$29, MIN(Rechner!$C$33,MIN(300,Rechner!$C$6*12)), 0),0)</f>
        <v>0</v>
      </c>
      <c r="F87" s="68">
        <f>(F86+Rechner!C6*12+(IF(Rechner!C33&gt;=120,IF(LEFT(Rechner!C18,2)="JA",MIN(0.5*MIN(Rechner!C33,360)+0.25*MAX(MIN(Rechner!C33,1800)-360,0),540),MIN(0.5*MIN(Rechner!C33,360)+0.25*MAX(MIN(Rechner!C33,1800)-360,0),175)),0)+IF(Rechner!C33&gt;=120,(IF(35&lt;=Rechner!C25,MIN(Rechner!C33,300),0)+IF(35&lt;=Rechner!C26,MIN(Rechner!C33,300),0)+IF(35&lt;=Rechner!C27,MIN(Rechner!C33,300),0)+IF(35&lt;=Rechner!C28,MIN(Rechner!C33,300),0)+IF(35&lt;=Rechner!C29,MIN(Rechner!C33,300),0)),0)))*(1+Rechner!C21)</f>
        <v>247490.54176031161</v>
      </c>
      <c r="G87" s="67">
        <f>(F87)*Rechner!$C$13</f>
        <v>61872.635440077902</v>
      </c>
      <c r="H87" s="69">
        <f t="shared" si="10"/>
        <v>185617.90632023371</v>
      </c>
    </row>
    <row r="88" spans="1:8" x14ac:dyDescent="0.2">
      <c r="A88" s="58">
        <v>36</v>
      </c>
      <c r="B88" s="59">
        <f t="shared" si="11"/>
        <v>2062</v>
      </c>
      <c r="C88" s="70">
        <f>Rechner!C6*12*36</f>
        <v>64800</v>
      </c>
      <c r="D88" s="70">
        <f>IF(Rechner!$C$33&gt;=120,
  IF(LEFT(Rechner!$C$18,2)="JA",
    MIN(0.5*MIN(Rechner!$C$33,360) + 0.25*MAX(MIN(Rechner!$C$33,1800)-360,0), 540),
    MIN(0.5*MIN(Rechner!$C$33,360) + 0.25*MAX(MIN(Rechner!$C$33,1800)-360,0), 175)
  ),0)</f>
        <v>540</v>
      </c>
      <c r="E88" s="70">
        <f>IF(Rechner!$C$33&gt;=120,
  IF(A88&lt;=Rechner!$C$25, MIN(Rechner!$C$33,MIN(300,Rechner!$C$6*12)), 0)
 +IF(A88&lt;=Rechner!$C$26, MIN(Rechner!$C$33,MIN(300,Rechner!$C$6*12)), 0)
 +IF(A88&lt;=Rechner!$C$27, MIN(Rechner!$C$33,MIN(300,Rechner!$C$6*12)), 0)
 +IF(A88&lt;=Rechner!$C$28, MIN(Rechner!$C$33,MIN(300,Rechner!$C$6*12)), 0)
 +IF(A88&lt;=Rechner!$C$29, MIN(Rechner!$C$33,MIN(300,Rechner!$C$6*12)), 0),0)</f>
        <v>0</v>
      </c>
      <c r="F88" s="71">
        <f>(F87+Rechner!C6*12+(IF(Rechner!C33&gt;=120,IF(LEFT(Rechner!C18,2)="JA",MIN(0.5*MIN(Rechner!C33,360)+0.25*MAX(MIN(Rechner!C33,1800)-360,0),540),MIN(0.5*MIN(Rechner!C33,360)+0.25*MAX(MIN(Rechner!C33,1800)-360,0),175)),0)+IF(Rechner!C33&gt;=120,(IF(36&lt;=Rechner!C25,MIN(Rechner!C33,300),0)+IF(36&lt;=Rechner!C26,MIN(Rechner!C33,300),0)+IF(36&lt;=Rechner!C27,MIN(Rechner!C33,300),0)+IF(36&lt;=Rechner!C28,MIN(Rechner!C33,300),0)+IF(36&lt;=Rechner!C29,MIN(Rechner!C33,300),0)),0)))*(1+Rechner!C21)</f>
        <v>263571.22155712871</v>
      </c>
      <c r="G88" s="70">
        <f>(F88)*Rechner!$C$13</f>
        <v>65892.805389282177</v>
      </c>
      <c r="H88" s="69">
        <f t="shared" si="10"/>
        <v>197678.41616784653</v>
      </c>
    </row>
    <row r="89" spans="1:8" x14ac:dyDescent="0.2">
      <c r="A89" s="56">
        <v>37</v>
      </c>
      <c r="B89" s="57">
        <f t="shared" si="11"/>
        <v>2063</v>
      </c>
      <c r="C89" s="67">
        <f>Rechner!C6*12*37</f>
        <v>66600</v>
      </c>
      <c r="D89" s="67">
        <f>IF(Rechner!$C$33&gt;=120,
  IF(LEFT(Rechner!$C$18,2)="JA",
    MIN(0.5*MIN(Rechner!$C$33,360) + 0.25*MAX(MIN(Rechner!$C$33,1800)-360,0), 540),
    MIN(0.5*MIN(Rechner!$C$33,360) + 0.25*MAX(MIN(Rechner!$C$33,1800)-360,0), 175)
  ),0)</f>
        <v>540</v>
      </c>
      <c r="E89" s="67">
        <f>IF(Rechner!$C$33&gt;=120,
  IF(A89&lt;=Rechner!$C$25, MIN(Rechner!$C$33,MIN(300,Rechner!$C$6*12)), 0)
 +IF(A89&lt;=Rechner!$C$26, MIN(Rechner!$C$33,MIN(300,Rechner!$C$6*12)), 0)
 +IF(A89&lt;=Rechner!$C$27, MIN(Rechner!$C$33,MIN(300,Rechner!$C$6*12)), 0)
 +IF(A89&lt;=Rechner!$C$28, MIN(Rechner!$C$33,MIN(300,Rechner!$C$6*12)), 0)
 +IF(A89&lt;=Rechner!$C$29, MIN(Rechner!$C$33,MIN(300,Rechner!$C$6*12)), 0),0)</f>
        <v>0</v>
      </c>
      <c r="F89" s="68">
        <f>(F88+Rechner!C6*12+(IF(Rechner!C33&gt;=120,IF(LEFT(Rechner!C18,2)="JA",MIN(0.5*MIN(Rechner!C33,360)+0.25*MAX(MIN(Rechner!C33,1800)-360,0),540),MIN(0.5*MIN(Rechner!C33,360)+0.25*MAX(MIN(Rechner!C33,1800)-360,0),175)),0)+IF(Rechner!C33&gt;=120,(IF(37&lt;=Rechner!C25,MIN(Rechner!C33,300),0)+IF(37&lt;=Rechner!C26,MIN(Rechner!C33,300),0)+IF(37&lt;=Rechner!C27,MIN(Rechner!C33,300),0)+IF(37&lt;=Rechner!C28,MIN(Rechner!C33,300),0)+IF(37&lt;=Rechner!C29,MIN(Rechner!C33,300),0)),0)))*(1+Rechner!C21)</f>
        <v>280536.33874277078</v>
      </c>
      <c r="G89" s="67">
        <f>(F89)*Rechner!$C$13</f>
        <v>70134.084685692695</v>
      </c>
      <c r="H89" s="69">
        <f t="shared" si="10"/>
        <v>210402.2540570781</v>
      </c>
    </row>
    <row r="90" spans="1:8" x14ac:dyDescent="0.2">
      <c r="A90" s="58">
        <v>38</v>
      </c>
      <c r="B90" s="59">
        <f t="shared" si="11"/>
        <v>2064</v>
      </c>
      <c r="C90" s="70">
        <f>Rechner!C6*12*38</f>
        <v>68400</v>
      </c>
      <c r="D90" s="70">
        <f>IF(Rechner!$C$33&gt;=120,
  IF(LEFT(Rechner!$C$18,2)="JA",
    MIN(0.5*MIN(Rechner!$C$33,360) + 0.25*MAX(MIN(Rechner!$C$33,1800)-360,0), 540),
    MIN(0.5*MIN(Rechner!$C$33,360) + 0.25*MAX(MIN(Rechner!$C$33,1800)-360,0), 175)
  ),0)</f>
        <v>540</v>
      </c>
      <c r="E90" s="70">
        <f>IF(Rechner!$C$33&gt;=120,
  IF(A90&lt;=Rechner!$C$25, MIN(Rechner!$C$33,MIN(300,Rechner!$C$6*12)), 0)
 +IF(A90&lt;=Rechner!$C$26, MIN(Rechner!$C$33,MIN(300,Rechner!$C$6*12)), 0)
 +IF(A90&lt;=Rechner!$C$27, MIN(Rechner!$C$33,MIN(300,Rechner!$C$6*12)), 0)
 +IF(A90&lt;=Rechner!$C$28, MIN(Rechner!$C$33,MIN(300,Rechner!$C$6*12)), 0)
 +IF(A90&lt;=Rechner!$C$29, MIN(Rechner!$C$33,MIN(300,Rechner!$C$6*12)), 0),0)</f>
        <v>0</v>
      </c>
      <c r="F90" s="71">
        <f>(F89+Rechner!C6*12+(IF(Rechner!C33&gt;=120,IF(LEFT(Rechner!C18,2)="JA",MIN(0.5*MIN(Rechner!C33,360)+0.25*MAX(MIN(Rechner!C33,1800)-360,0),540),MIN(0.5*MIN(Rechner!C33,360)+0.25*MAX(MIN(Rechner!C33,1800)-360,0),175)),0)+IF(Rechner!C33&gt;=120,(IF(38&lt;=Rechner!C25,MIN(Rechner!C33,300),0)+IF(38&lt;=Rechner!C26,MIN(Rechner!C33,300),0)+IF(38&lt;=Rechner!C27,MIN(Rechner!C33,300),0)+IF(38&lt;=Rechner!C28,MIN(Rechner!C33,300),0)+IF(38&lt;=Rechner!C29,MIN(Rechner!C33,300),0)),0)))*(1+Rechner!C21)</f>
        <v>298434.53737362317</v>
      </c>
      <c r="G90" s="70">
        <f>(F90)*Rechner!$C$13</f>
        <v>74608.634343405793</v>
      </c>
      <c r="H90" s="69">
        <f t="shared" si="10"/>
        <v>223825.90303021739</v>
      </c>
    </row>
    <row r="91" spans="1:8" x14ac:dyDescent="0.2">
      <c r="A91" s="56">
        <v>39</v>
      </c>
      <c r="B91" s="57">
        <f t="shared" si="11"/>
        <v>2065</v>
      </c>
      <c r="C91" s="67">
        <f>Rechner!C6*12*39</f>
        <v>70200</v>
      </c>
      <c r="D91" s="67">
        <f>IF(Rechner!$C$33&gt;=120,
  IF(LEFT(Rechner!$C$18,2)="JA",
    MIN(0.5*MIN(Rechner!$C$33,360) + 0.25*MAX(MIN(Rechner!$C$33,1800)-360,0), 540),
    MIN(0.5*MIN(Rechner!$C$33,360) + 0.25*MAX(MIN(Rechner!$C$33,1800)-360,0), 175)
  ),0)</f>
        <v>540</v>
      </c>
      <c r="E91" s="67">
        <f>IF(Rechner!$C$33&gt;=120,
  IF(A91&lt;=Rechner!$C$25, MIN(Rechner!$C$33,MIN(300,Rechner!$C$6*12)), 0)
 +IF(A91&lt;=Rechner!$C$26, MIN(Rechner!$C$33,MIN(300,Rechner!$C$6*12)), 0)
 +IF(A91&lt;=Rechner!$C$27, MIN(Rechner!$C$33,MIN(300,Rechner!$C$6*12)), 0)
 +IF(A91&lt;=Rechner!$C$28, MIN(Rechner!$C$33,MIN(300,Rechner!$C$6*12)), 0)
 +IF(A91&lt;=Rechner!$C$29, MIN(Rechner!$C$33,MIN(300,Rechner!$C$6*12)), 0),0)</f>
        <v>0</v>
      </c>
      <c r="F91" s="68">
        <f>(F90+Rechner!C6*12+(IF(Rechner!C33&gt;=120,IF(LEFT(Rechner!C18,2)="JA",MIN(0.5*MIN(Rechner!C33,360)+0.25*MAX(MIN(Rechner!C33,1800)-360,0),540),MIN(0.5*MIN(Rechner!C33,360)+0.25*MAX(MIN(Rechner!C33,1800)-360,0),175)),0)+IF(Rechner!C33&gt;=120,(IF(39&lt;=Rechner!C25,MIN(Rechner!C33,300),0)+IF(39&lt;=Rechner!C26,MIN(Rechner!C33,300),0)+IF(39&lt;=Rechner!C27,MIN(Rechner!C33,300),0)+IF(39&lt;=Rechner!C28,MIN(Rechner!C33,300),0)+IF(39&lt;=Rechner!C29,MIN(Rechner!C33,300),0)),0)))*(1+Rechner!C21)</f>
        <v>317317.13692917244</v>
      </c>
      <c r="G91" s="67">
        <f>(F91)*Rechner!$C$13</f>
        <v>79329.28423229311</v>
      </c>
      <c r="H91" s="69">
        <f t="shared" si="10"/>
        <v>237987.85269687933</v>
      </c>
    </row>
    <row r="92" spans="1:8" x14ac:dyDescent="0.2">
      <c r="A92" s="58">
        <v>40</v>
      </c>
      <c r="B92" s="59">
        <f t="shared" si="11"/>
        <v>2066</v>
      </c>
      <c r="C92" s="70">
        <f>Rechner!C6*12*40</f>
        <v>72000</v>
      </c>
      <c r="D92" s="70">
        <f>IF(Rechner!$C$33&gt;=120,
  IF(LEFT(Rechner!$C$18,2)="JA",
    MIN(0.5*MIN(Rechner!$C$33,360) + 0.25*MAX(MIN(Rechner!$C$33,1800)-360,0), 540),
    MIN(0.5*MIN(Rechner!$C$33,360) + 0.25*MAX(MIN(Rechner!$C$33,1800)-360,0), 175)
  ),0)</f>
        <v>540</v>
      </c>
      <c r="E92" s="70">
        <f>IF(Rechner!$C$33&gt;=120,
  IF(A92&lt;=Rechner!$C$25, MIN(Rechner!$C$33,MIN(300,Rechner!$C$6*12)), 0)
 +IF(A92&lt;=Rechner!$C$26, MIN(Rechner!$C$33,MIN(300,Rechner!$C$6*12)), 0)
 +IF(A92&lt;=Rechner!$C$27, MIN(Rechner!$C$33,MIN(300,Rechner!$C$6*12)), 0)
 +IF(A92&lt;=Rechner!$C$28, MIN(Rechner!$C$33,MIN(300,Rechner!$C$6*12)), 0)
 +IF(A92&lt;=Rechner!$C$29, MIN(Rechner!$C$33,MIN(300,Rechner!$C$6*12)), 0),0)</f>
        <v>0</v>
      </c>
      <c r="F92" s="71">
        <f>(F91+Rechner!C6*12+(IF(Rechner!C33&gt;=120,IF(LEFT(Rechner!C18,2)="JA",MIN(0.5*MIN(Rechner!C33,360)+0.25*MAX(MIN(Rechner!C33,1800)-360,0),540),MIN(0.5*MIN(Rechner!C33,360)+0.25*MAX(MIN(Rechner!C33,1800)-360,0),175)),0)+IF(Rechner!C33&gt;=120,(IF(40&lt;=Rechner!C25,MIN(Rechner!C33,300),0)+IF(40&lt;=Rechner!C26,MIN(Rechner!C33,300),0)+IF(40&lt;=Rechner!C27,MIN(Rechner!C33,300),0)+IF(40&lt;=Rechner!C28,MIN(Rechner!C33,300),0)+IF(40&lt;=Rechner!C29,MIN(Rechner!C33,300),0)),0)))*(1+Rechner!C21)</f>
        <v>337238.27946027688</v>
      </c>
      <c r="G92" s="70">
        <f>(F92)*Rechner!$C$13</f>
        <v>84309.569865069221</v>
      </c>
      <c r="H92" s="69">
        <f t="shared" si="10"/>
        <v>252928.70959520765</v>
      </c>
    </row>
    <row r="93" spans="1:8" ht="17" x14ac:dyDescent="0.3">
      <c r="A93" s="83" t="s">
        <v>165</v>
      </c>
      <c r="B93" s="84"/>
      <c r="C93" s="73">
        <f>INDEX(C53:C92,MATCH(Rechner!$C$10,$A$53:$A$92,0))</f>
        <v>54000</v>
      </c>
      <c r="D93" s="84"/>
      <c r="E93" s="85"/>
      <c r="F93" s="73">
        <f>INDEX(F53:F92,MATCH(Rechner!$C$10,$A$53:$A$92,0))</f>
        <v>178821.46446656165</v>
      </c>
      <c r="G93" s="73">
        <f>INDEX(G53:G92,MATCH(Rechner!C10,A53:A92,0))</f>
        <v>44705.366116640413</v>
      </c>
      <c r="H93" s="74">
        <f>INDEX(H53:H92,MATCH(Rechner!C10,A53:A92,0))</f>
        <v>134116.09834992123</v>
      </c>
    </row>
    <row r="94" spans="1:8" x14ac:dyDescent="0.2">
      <c r="A94" s="54"/>
      <c r="B94" s="54"/>
      <c r="C94" s="54"/>
      <c r="D94" s="54"/>
      <c r="E94" s="54"/>
      <c r="F94" s="54"/>
      <c r="G94" s="54"/>
      <c r="H94" s="54"/>
    </row>
    <row r="95" spans="1:8" x14ac:dyDescent="0.2">
      <c r="A95" s="54"/>
      <c r="B95" s="54"/>
      <c r="C95" s="54"/>
      <c r="D95" s="54"/>
      <c r="E95" s="54"/>
      <c r="F95" s="54"/>
      <c r="G95" s="54"/>
      <c r="H95" s="54"/>
    </row>
    <row r="96" spans="1:8" ht="16" x14ac:dyDescent="0.2">
      <c r="A96" s="109" t="s">
        <v>219</v>
      </c>
      <c r="B96" s="109"/>
      <c r="C96" s="109"/>
      <c r="D96" s="109"/>
      <c r="E96" s="109"/>
      <c r="F96" s="109"/>
      <c r="G96" s="109"/>
      <c r="H96" s="109"/>
    </row>
    <row r="97" spans="1:8" ht="4" customHeight="1" x14ac:dyDescent="0.2">
      <c r="A97" s="109"/>
      <c r="B97" s="109"/>
      <c r="C97" s="109"/>
      <c r="D97" s="109"/>
      <c r="E97" s="109"/>
      <c r="F97" s="109"/>
      <c r="G97" s="109"/>
      <c r="H97" s="109"/>
    </row>
    <row r="98" spans="1:8" ht="97" x14ac:dyDescent="0.2">
      <c r="A98" s="55" t="s">
        <v>34</v>
      </c>
      <c r="B98" s="55" t="s">
        <v>35</v>
      </c>
      <c r="C98" s="72" t="s">
        <v>158</v>
      </c>
      <c r="D98" s="72" t="s">
        <v>144</v>
      </c>
      <c r="E98" s="72" t="s">
        <v>143</v>
      </c>
      <c r="F98" s="72" t="s">
        <v>161</v>
      </c>
      <c r="G98" s="72" t="s">
        <v>204</v>
      </c>
      <c r="H98" s="72" t="s">
        <v>164</v>
      </c>
    </row>
    <row r="99" spans="1:8" x14ac:dyDescent="0.2">
      <c r="A99" s="56">
        <v>1</v>
      </c>
      <c r="B99" s="57">
        <f>B53</f>
        <v>2027</v>
      </c>
      <c r="C99" s="67">
        <f>Rechner!$C$7*12*A99</f>
        <v>0</v>
      </c>
      <c r="D99" s="67">
        <v>0</v>
      </c>
      <c r="E99" s="67">
        <v>0</v>
      </c>
      <c r="F99" s="68">
        <f>C99+C99*(Rechner!C11-Rechner!C20)</f>
        <v>0</v>
      </c>
      <c r="G99" s="67">
        <f>(F99-$C$99*A99)*Rechner!$C$13</f>
        <v>0</v>
      </c>
      <c r="H99" s="69">
        <f t="shared" ref="H99:H138" si="12">F99-G99</f>
        <v>0</v>
      </c>
    </row>
    <row r="100" spans="1:8" x14ac:dyDescent="0.2">
      <c r="A100" s="58">
        <v>2</v>
      </c>
      <c r="B100" s="59">
        <f t="shared" ref="B100:B138" si="13">B99+1</f>
        <v>2028</v>
      </c>
      <c r="C100" s="70">
        <f>Rechner!$C$7*12*A100</f>
        <v>0</v>
      </c>
      <c r="D100" s="70">
        <v>0</v>
      </c>
      <c r="E100" s="70">
        <v>0</v>
      </c>
      <c r="F100" s="71">
        <f>F99+$C$99+((F99+$C$99)*(Rechner!$C$11-Rechner!$C$20))</f>
        <v>0</v>
      </c>
      <c r="G100" s="70">
        <f>(F100-$C$99*A100)*Rechner!$C$13</f>
        <v>0</v>
      </c>
      <c r="H100" s="69">
        <f t="shared" si="12"/>
        <v>0</v>
      </c>
    </row>
    <row r="101" spans="1:8" x14ac:dyDescent="0.2">
      <c r="A101" s="56">
        <v>3</v>
      </c>
      <c r="B101" s="57">
        <f t="shared" si="13"/>
        <v>2029</v>
      </c>
      <c r="C101" s="67">
        <f>Rechner!$C$7*12*A101</f>
        <v>0</v>
      </c>
      <c r="D101" s="67">
        <v>0</v>
      </c>
      <c r="E101" s="67">
        <v>0</v>
      </c>
      <c r="F101" s="68">
        <f>F100+$C$99+((F100+$C$99)*(Rechner!$C$11-Rechner!$C$20))</f>
        <v>0</v>
      </c>
      <c r="G101" s="67">
        <f>(F101-$C$99*A101)*Rechner!$C$13</f>
        <v>0</v>
      </c>
      <c r="H101" s="69">
        <f t="shared" si="12"/>
        <v>0</v>
      </c>
    </row>
    <row r="102" spans="1:8" x14ac:dyDescent="0.2">
      <c r="A102" s="58">
        <v>4</v>
      </c>
      <c r="B102" s="59">
        <f t="shared" si="13"/>
        <v>2030</v>
      </c>
      <c r="C102" s="70">
        <f>Rechner!$C$7*12*A102</f>
        <v>0</v>
      </c>
      <c r="D102" s="70">
        <v>0</v>
      </c>
      <c r="E102" s="70">
        <v>0</v>
      </c>
      <c r="F102" s="71">
        <f>F101+$C$99+((F101+$C$99)*(Rechner!$C$11-Rechner!$C$20))</f>
        <v>0</v>
      </c>
      <c r="G102" s="70">
        <f>(F102-$C$99*A102)*Rechner!$C$13</f>
        <v>0</v>
      </c>
      <c r="H102" s="69">
        <f t="shared" si="12"/>
        <v>0</v>
      </c>
    </row>
    <row r="103" spans="1:8" x14ac:dyDescent="0.2">
      <c r="A103" s="56">
        <v>5</v>
      </c>
      <c r="B103" s="57">
        <f t="shared" si="13"/>
        <v>2031</v>
      </c>
      <c r="C103" s="67">
        <f>Rechner!$C$7*12*A103</f>
        <v>0</v>
      </c>
      <c r="D103" s="67">
        <v>0</v>
      </c>
      <c r="E103" s="67">
        <v>0</v>
      </c>
      <c r="F103" s="68">
        <f>F102+$C$99+((F102+$C$99)*(Rechner!$C$11-Rechner!$C$20))</f>
        <v>0</v>
      </c>
      <c r="G103" s="67">
        <f>(F103-$C$99*A103)*Rechner!$C$13</f>
        <v>0</v>
      </c>
      <c r="H103" s="69">
        <f t="shared" si="12"/>
        <v>0</v>
      </c>
    </row>
    <row r="104" spans="1:8" x14ac:dyDescent="0.2">
      <c r="A104" s="58">
        <v>6</v>
      </c>
      <c r="B104" s="59">
        <f t="shared" si="13"/>
        <v>2032</v>
      </c>
      <c r="C104" s="70">
        <f>Rechner!$C$7*12*A104</f>
        <v>0</v>
      </c>
      <c r="D104" s="70">
        <v>0</v>
      </c>
      <c r="E104" s="70">
        <v>0</v>
      </c>
      <c r="F104" s="71">
        <f>F103+$C$99+((F103+$C$99)*(Rechner!$C$11-Rechner!$C$20))</f>
        <v>0</v>
      </c>
      <c r="G104" s="70">
        <f>(F104-$C$99*A104)*Rechner!$C$13</f>
        <v>0</v>
      </c>
      <c r="H104" s="69">
        <f t="shared" si="12"/>
        <v>0</v>
      </c>
    </row>
    <row r="105" spans="1:8" x14ac:dyDescent="0.2">
      <c r="A105" s="56">
        <v>7</v>
      </c>
      <c r="B105" s="57">
        <f t="shared" si="13"/>
        <v>2033</v>
      </c>
      <c r="C105" s="67">
        <f>Rechner!$C$7*12*A105</f>
        <v>0</v>
      </c>
      <c r="D105" s="67">
        <v>0</v>
      </c>
      <c r="E105" s="67">
        <v>0</v>
      </c>
      <c r="F105" s="68">
        <f>F104+$C$99+((F104+$C$99)*(Rechner!$C$11-Rechner!$C$20))</f>
        <v>0</v>
      </c>
      <c r="G105" s="67">
        <f>(F105-$C$99*A105)*Rechner!$C$13</f>
        <v>0</v>
      </c>
      <c r="H105" s="69">
        <f t="shared" si="12"/>
        <v>0</v>
      </c>
    </row>
    <row r="106" spans="1:8" x14ac:dyDescent="0.2">
      <c r="A106" s="58">
        <v>8</v>
      </c>
      <c r="B106" s="59">
        <f t="shared" si="13"/>
        <v>2034</v>
      </c>
      <c r="C106" s="70">
        <f>Rechner!$C$7*12*A106</f>
        <v>0</v>
      </c>
      <c r="D106" s="70">
        <v>0</v>
      </c>
      <c r="E106" s="70">
        <v>0</v>
      </c>
      <c r="F106" s="71">
        <f>F105+$C$99+((F105+$C$99)*(Rechner!$C$11-Rechner!$C$20))</f>
        <v>0</v>
      </c>
      <c r="G106" s="70">
        <f>(F106-$C$99*A106)*Rechner!$C$13</f>
        <v>0</v>
      </c>
      <c r="H106" s="69">
        <f t="shared" si="12"/>
        <v>0</v>
      </c>
    </row>
    <row r="107" spans="1:8" x14ac:dyDescent="0.2">
      <c r="A107" s="56">
        <v>9</v>
      </c>
      <c r="B107" s="57">
        <f t="shared" si="13"/>
        <v>2035</v>
      </c>
      <c r="C107" s="67">
        <f>Rechner!$C$7*12*A107</f>
        <v>0</v>
      </c>
      <c r="D107" s="67">
        <v>0</v>
      </c>
      <c r="E107" s="67">
        <v>0</v>
      </c>
      <c r="F107" s="68">
        <f>F106+$C$99+((F106+$C$99)*(Rechner!$C$11-Rechner!$C$20))</f>
        <v>0</v>
      </c>
      <c r="G107" s="67">
        <f>(F107-$C$99*A107)*Rechner!$C$13</f>
        <v>0</v>
      </c>
      <c r="H107" s="69">
        <f t="shared" si="12"/>
        <v>0</v>
      </c>
    </row>
    <row r="108" spans="1:8" x14ac:dyDescent="0.2">
      <c r="A108" s="58">
        <v>10</v>
      </c>
      <c r="B108" s="59">
        <f t="shared" si="13"/>
        <v>2036</v>
      </c>
      <c r="C108" s="70">
        <f>Rechner!$C$7*12*A108</f>
        <v>0</v>
      </c>
      <c r="D108" s="70">
        <v>0</v>
      </c>
      <c r="E108" s="70">
        <v>0</v>
      </c>
      <c r="F108" s="71">
        <f>F107+$C$99+((F107+$C$99)*(Rechner!$C$11-Rechner!$C$20))</f>
        <v>0</v>
      </c>
      <c r="G108" s="70">
        <f>(F108-$C$99*A108)*Rechner!$C$13</f>
        <v>0</v>
      </c>
      <c r="H108" s="69">
        <f t="shared" si="12"/>
        <v>0</v>
      </c>
    </row>
    <row r="109" spans="1:8" x14ac:dyDescent="0.2">
      <c r="A109" s="56">
        <v>11</v>
      </c>
      <c r="B109" s="57">
        <f t="shared" si="13"/>
        <v>2037</v>
      </c>
      <c r="C109" s="67">
        <f>Rechner!$C$7*12*A109</f>
        <v>0</v>
      </c>
      <c r="D109" s="67">
        <v>0</v>
      </c>
      <c r="E109" s="67">
        <v>0</v>
      </c>
      <c r="F109" s="68">
        <f>F108+$C$99+((F108+$C$99)*(Rechner!$C$11-Rechner!$C$20))</f>
        <v>0</v>
      </c>
      <c r="G109" s="67">
        <f>(F109-$C$99*A109)*Rechner!$C$13</f>
        <v>0</v>
      </c>
      <c r="H109" s="69">
        <f t="shared" si="12"/>
        <v>0</v>
      </c>
    </row>
    <row r="110" spans="1:8" x14ac:dyDescent="0.2">
      <c r="A110" s="58">
        <v>12</v>
      </c>
      <c r="B110" s="59">
        <f t="shared" si="13"/>
        <v>2038</v>
      </c>
      <c r="C110" s="70">
        <f>Rechner!$C$7*12*A110</f>
        <v>0</v>
      </c>
      <c r="D110" s="70">
        <v>0</v>
      </c>
      <c r="E110" s="70">
        <v>0</v>
      </c>
      <c r="F110" s="71">
        <f>F109+$C$99+((F109+$C$99)*(Rechner!$C$11-Rechner!$C$20))</f>
        <v>0</v>
      </c>
      <c r="G110" s="70">
        <f>(F110-$C$99*A110)*Rechner!$C$13</f>
        <v>0</v>
      </c>
      <c r="H110" s="69">
        <f t="shared" si="12"/>
        <v>0</v>
      </c>
    </row>
    <row r="111" spans="1:8" x14ac:dyDescent="0.2">
      <c r="A111" s="56">
        <v>13</v>
      </c>
      <c r="B111" s="57">
        <f t="shared" si="13"/>
        <v>2039</v>
      </c>
      <c r="C111" s="67">
        <f>Rechner!$C$7*12*A111</f>
        <v>0</v>
      </c>
      <c r="D111" s="67">
        <v>0</v>
      </c>
      <c r="E111" s="67">
        <v>0</v>
      </c>
      <c r="F111" s="68">
        <f>F110+$C$99+((F110+$C$99)*(Rechner!$C$11-Rechner!$C$20))</f>
        <v>0</v>
      </c>
      <c r="G111" s="67">
        <f>(F111-$C$99*A111)*Rechner!$C$13</f>
        <v>0</v>
      </c>
      <c r="H111" s="69">
        <f t="shared" si="12"/>
        <v>0</v>
      </c>
    </row>
    <row r="112" spans="1:8" x14ac:dyDescent="0.2">
      <c r="A112" s="58">
        <v>14</v>
      </c>
      <c r="B112" s="59">
        <f t="shared" si="13"/>
        <v>2040</v>
      </c>
      <c r="C112" s="70">
        <f>Rechner!$C$7*12*A112</f>
        <v>0</v>
      </c>
      <c r="D112" s="70">
        <v>0</v>
      </c>
      <c r="E112" s="70">
        <v>0</v>
      </c>
      <c r="F112" s="71">
        <f>F111+$C$99+((F111+$C$99)*(Rechner!$C$11-Rechner!$C$20))</f>
        <v>0</v>
      </c>
      <c r="G112" s="70">
        <f>(F112-$C$99*A112)*Rechner!$C$13</f>
        <v>0</v>
      </c>
      <c r="H112" s="69">
        <f t="shared" si="12"/>
        <v>0</v>
      </c>
    </row>
    <row r="113" spans="1:8" x14ac:dyDescent="0.2">
      <c r="A113" s="56">
        <v>15</v>
      </c>
      <c r="B113" s="57">
        <f t="shared" si="13"/>
        <v>2041</v>
      </c>
      <c r="C113" s="67">
        <f>Rechner!$C$7*12*A113</f>
        <v>0</v>
      </c>
      <c r="D113" s="67">
        <v>0</v>
      </c>
      <c r="E113" s="67">
        <v>0</v>
      </c>
      <c r="F113" s="68">
        <f>F112+$C$99+((F112+$C$99)*(Rechner!$C$11-Rechner!$C$20))</f>
        <v>0</v>
      </c>
      <c r="G113" s="67">
        <f>(F113-$C$99*A113)*Rechner!$C$13</f>
        <v>0</v>
      </c>
      <c r="H113" s="69">
        <f t="shared" si="12"/>
        <v>0</v>
      </c>
    </row>
    <row r="114" spans="1:8" x14ac:dyDescent="0.2">
      <c r="A114" s="58">
        <v>16</v>
      </c>
      <c r="B114" s="59">
        <f t="shared" si="13"/>
        <v>2042</v>
      </c>
      <c r="C114" s="70">
        <f>Rechner!$C$7*12*A114</f>
        <v>0</v>
      </c>
      <c r="D114" s="70">
        <v>0</v>
      </c>
      <c r="E114" s="70">
        <v>0</v>
      </c>
      <c r="F114" s="71">
        <f>F113+$C$99+((F113+$C$99)*(Rechner!$C$11-Rechner!$C$20))</f>
        <v>0</v>
      </c>
      <c r="G114" s="70">
        <f>(F114-$C$99*A114)*Rechner!$C$13</f>
        <v>0</v>
      </c>
      <c r="H114" s="69">
        <f t="shared" si="12"/>
        <v>0</v>
      </c>
    </row>
    <row r="115" spans="1:8" x14ac:dyDescent="0.2">
      <c r="A115" s="56">
        <v>17</v>
      </c>
      <c r="B115" s="57">
        <f t="shared" si="13"/>
        <v>2043</v>
      </c>
      <c r="C115" s="67">
        <f>Rechner!$C$7*12*A115</f>
        <v>0</v>
      </c>
      <c r="D115" s="67">
        <v>0</v>
      </c>
      <c r="E115" s="67">
        <v>0</v>
      </c>
      <c r="F115" s="68">
        <f>F114+$C$99+((F114+$C$99)*(Rechner!$C$11-Rechner!$C$20))</f>
        <v>0</v>
      </c>
      <c r="G115" s="67">
        <f>(F115-$C$99*A115)*Rechner!$C$13</f>
        <v>0</v>
      </c>
      <c r="H115" s="69">
        <f t="shared" si="12"/>
        <v>0</v>
      </c>
    </row>
    <row r="116" spans="1:8" x14ac:dyDescent="0.2">
      <c r="A116" s="58">
        <v>18</v>
      </c>
      <c r="B116" s="59">
        <f t="shared" si="13"/>
        <v>2044</v>
      </c>
      <c r="C116" s="70">
        <f>Rechner!$C$7*12*A116</f>
        <v>0</v>
      </c>
      <c r="D116" s="70">
        <v>0</v>
      </c>
      <c r="E116" s="70">
        <v>0</v>
      </c>
      <c r="F116" s="71">
        <f>F115+$C$99+((F115+$C$99)*(Rechner!$C$11-Rechner!$C$20))</f>
        <v>0</v>
      </c>
      <c r="G116" s="70">
        <f>(F116-$C$99*A116)*Rechner!$C$13</f>
        <v>0</v>
      </c>
      <c r="H116" s="69">
        <f t="shared" si="12"/>
        <v>0</v>
      </c>
    </row>
    <row r="117" spans="1:8" x14ac:dyDescent="0.2">
      <c r="A117" s="56">
        <v>19</v>
      </c>
      <c r="B117" s="57">
        <f t="shared" si="13"/>
        <v>2045</v>
      </c>
      <c r="C117" s="67">
        <f>Rechner!$C$7*12*A117</f>
        <v>0</v>
      </c>
      <c r="D117" s="67">
        <v>0</v>
      </c>
      <c r="E117" s="67">
        <v>0</v>
      </c>
      <c r="F117" s="68">
        <f>F116+$C$99+((F116+$C$99)*(Rechner!$C$11-Rechner!$C$20))</f>
        <v>0</v>
      </c>
      <c r="G117" s="67">
        <f>(F117-$C$99*A117)*Rechner!$C$13</f>
        <v>0</v>
      </c>
      <c r="H117" s="69">
        <f t="shared" si="12"/>
        <v>0</v>
      </c>
    </row>
    <row r="118" spans="1:8" x14ac:dyDescent="0.2">
      <c r="A118" s="58">
        <v>20</v>
      </c>
      <c r="B118" s="59">
        <f t="shared" si="13"/>
        <v>2046</v>
      </c>
      <c r="C118" s="70">
        <f>Rechner!$C$7*12*A118</f>
        <v>0</v>
      </c>
      <c r="D118" s="70">
        <v>0</v>
      </c>
      <c r="E118" s="70">
        <v>0</v>
      </c>
      <c r="F118" s="71">
        <f>F117+$C$99+((F117+$C$99)*(Rechner!$C$11-Rechner!$C$20))</f>
        <v>0</v>
      </c>
      <c r="G118" s="70">
        <f>(F118-$C$99*A118)*Rechner!$C$13</f>
        <v>0</v>
      </c>
      <c r="H118" s="69">
        <f t="shared" si="12"/>
        <v>0</v>
      </c>
    </row>
    <row r="119" spans="1:8" x14ac:dyDescent="0.2">
      <c r="A119" s="56">
        <v>21</v>
      </c>
      <c r="B119" s="57">
        <f t="shared" si="13"/>
        <v>2047</v>
      </c>
      <c r="C119" s="67">
        <f>Rechner!$C$7*12*A119</f>
        <v>0</v>
      </c>
      <c r="D119" s="67">
        <v>0</v>
      </c>
      <c r="E119" s="67">
        <v>0</v>
      </c>
      <c r="F119" s="68">
        <f>F118+$C$99+((F118+$C$99)*(Rechner!$C$11-Rechner!$C$20))</f>
        <v>0</v>
      </c>
      <c r="G119" s="67">
        <f>(F119-$C$99*A119)*Rechner!$C$13</f>
        <v>0</v>
      </c>
      <c r="H119" s="69">
        <f t="shared" si="12"/>
        <v>0</v>
      </c>
    </row>
    <row r="120" spans="1:8" x14ac:dyDescent="0.2">
      <c r="A120" s="58">
        <v>22</v>
      </c>
      <c r="B120" s="59">
        <f t="shared" si="13"/>
        <v>2048</v>
      </c>
      <c r="C120" s="70">
        <f>Rechner!$C$7*12*A120</f>
        <v>0</v>
      </c>
      <c r="D120" s="70">
        <v>0</v>
      </c>
      <c r="E120" s="70">
        <v>0</v>
      </c>
      <c r="F120" s="71">
        <f>F119+$C$99+((F119+$C$99)*(Rechner!$C$11-Rechner!$C$20))</f>
        <v>0</v>
      </c>
      <c r="G120" s="70">
        <f>(F120-$C$99*A120)*Rechner!$C$13</f>
        <v>0</v>
      </c>
      <c r="H120" s="69">
        <f t="shared" si="12"/>
        <v>0</v>
      </c>
    </row>
    <row r="121" spans="1:8" x14ac:dyDescent="0.2">
      <c r="A121" s="56">
        <v>23</v>
      </c>
      <c r="B121" s="57">
        <f t="shared" si="13"/>
        <v>2049</v>
      </c>
      <c r="C121" s="67">
        <f>Rechner!$C$7*12*A121</f>
        <v>0</v>
      </c>
      <c r="D121" s="67">
        <v>0</v>
      </c>
      <c r="E121" s="67">
        <v>0</v>
      </c>
      <c r="F121" s="68">
        <f>F120+$C$99+((F120+$C$99)*(Rechner!$C$11-Rechner!$C$20))</f>
        <v>0</v>
      </c>
      <c r="G121" s="67">
        <f>(F121-$C$99*A121)*Rechner!$C$13</f>
        <v>0</v>
      </c>
      <c r="H121" s="69">
        <f t="shared" si="12"/>
        <v>0</v>
      </c>
    </row>
    <row r="122" spans="1:8" x14ac:dyDescent="0.2">
      <c r="A122" s="58">
        <v>24</v>
      </c>
      <c r="B122" s="59">
        <f t="shared" si="13"/>
        <v>2050</v>
      </c>
      <c r="C122" s="70">
        <f>Rechner!$C$7*12*A122</f>
        <v>0</v>
      </c>
      <c r="D122" s="70">
        <v>0</v>
      </c>
      <c r="E122" s="70">
        <v>0</v>
      </c>
      <c r="F122" s="71">
        <f>F121+$C$99+((F121+$C$99)*(Rechner!$C$11-Rechner!$C$20))</f>
        <v>0</v>
      </c>
      <c r="G122" s="70">
        <f>(F122-$C$99*A122)*Rechner!$C$13</f>
        <v>0</v>
      </c>
      <c r="H122" s="69">
        <f t="shared" si="12"/>
        <v>0</v>
      </c>
    </row>
    <row r="123" spans="1:8" x14ac:dyDescent="0.2">
      <c r="A123" s="56">
        <v>25</v>
      </c>
      <c r="B123" s="57">
        <f t="shared" si="13"/>
        <v>2051</v>
      </c>
      <c r="C123" s="67">
        <f>Rechner!$C$7*12*A123</f>
        <v>0</v>
      </c>
      <c r="D123" s="67">
        <v>0</v>
      </c>
      <c r="E123" s="67">
        <v>0</v>
      </c>
      <c r="F123" s="68">
        <f>F122+$C$99+((F122+$C$99)*(Rechner!$C$11-Rechner!$C$20))</f>
        <v>0</v>
      </c>
      <c r="G123" s="67">
        <f>(F123-$C$99*A123)*Rechner!$C$13</f>
        <v>0</v>
      </c>
      <c r="H123" s="69">
        <f t="shared" si="12"/>
        <v>0</v>
      </c>
    </row>
    <row r="124" spans="1:8" x14ac:dyDescent="0.2">
      <c r="A124" s="58">
        <v>26</v>
      </c>
      <c r="B124" s="59">
        <f t="shared" si="13"/>
        <v>2052</v>
      </c>
      <c r="C124" s="70">
        <f>Rechner!$C$7*12*A124</f>
        <v>0</v>
      </c>
      <c r="D124" s="70">
        <v>0</v>
      </c>
      <c r="E124" s="70">
        <v>0</v>
      </c>
      <c r="F124" s="71">
        <f>F123+$C$99+((F123+$C$99)*(Rechner!$C$11-Rechner!$C$20))</f>
        <v>0</v>
      </c>
      <c r="G124" s="70">
        <f>(F124-$C$99*A124)*Rechner!$C$13</f>
        <v>0</v>
      </c>
      <c r="H124" s="69">
        <f t="shared" si="12"/>
        <v>0</v>
      </c>
    </row>
    <row r="125" spans="1:8" x14ac:dyDescent="0.2">
      <c r="A125" s="56">
        <v>27</v>
      </c>
      <c r="B125" s="57">
        <f t="shared" si="13"/>
        <v>2053</v>
      </c>
      <c r="C125" s="67">
        <f>Rechner!$C$7*12*A125</f>
        <v>0</v>
      </c>
      <c r="D125" s="67">
        <v>0</v>
      </c>
      <c r="E125" s="67">
        <v>0</v>
      </c>
      <c r="F125" s="68">
        <f>F124+$C$99+((F124+$C$99)*(Rechner!$C$11-Rechner!$C$20))</f>
        <v>0</v>
      </c>
      <c r="G125" s="67">
        <f>(F125-$C$99*A125)*Rechner!$C$13</f>
        <v>0</v>
      </c>
      <c r="H125" s="69">
        <f t="shared" si="12"/>
        <v>0</v>
      </c>
    </row>
    <row r="126" spans="1:8" x14ac:dyDescent="0.2">
      <c r="A126" s="58">
        <v>28</v>
      </c>
      <c r="B126" s="59">
        <f t="shared" si="13"/>
        <v>2054</v>
      </c>
      <c r="C126" s="70">
        <f>Rechner!$C$7*12*A126</f>
        <v>0</v>
      </c>
      <c r="D126" s="70">
        <v>0</v>
      </c>
      <c r="E126" s="70">
        <v>0</v>
      </c>
      <c r="F126" s="71">
        <f>F125+$C$99+((F125+$C$99)*(Rechner!$C$11-Rechner!$C$20))</f>
        <v>0</v>
      </c>
      <c r="G126" s="70">
        <f>(F126-$C$99*A126)*Rechner!$C$13</f>
        <v>0</v>
      </c>
      <c r="H126" s="69">
        <f t="shared" si="12"/>
        <v>0</v>
      </c>
    </row>
    <row r="127" spans="1:8" x14ac:dyDescent="0.2">
      <c r="A127" s="56">
        <v>29</v>
      </c>
      <c r="B127" s="57">
        <f t="shared" si="13"/>
        <v>2055</v>
      </c>
      <c r="C127" s="67">
        <f>Rechner!$C$7*12*A127</f>
        <v>0</v>
      </c>
      <c r="D127" s="67">
        <v>0</v>
      </c>
      <c r="E127" s="67">
        <v>0</v>
      </c>
      <c r="F127" s="68">
        <f>F126+$C$99+((F126+$C$99)*(Rechner!$C$11-Rechner!$C$20))</f>
        <v>0</v>
      </c>
      <c r="G127" s="67">
        <f>(F127-$C$99*A127)*Rechner!$C$13</f>
        <v>0</v>
      </c>
      <c r="H127" s="69">
        <f t="shared" si="12"/>
        <v>0</v>
      </c>
    </row>
    <row r="128" spans="1:8" x14ac:dyDescent="0.2">
      <c r="A128" s="58">
        <v>30</v>
      </c>
      <c r="B128" s="59">
        <f t="shared" si="13"/>
        <v>2056</v>
      </c>
      <c r="C128" s="70">
        <f>Rechner!$C$7*12*A128</f>
        <v>0</v>
      </c>
      <c r="D128" s="70">
        <v>0</v>
      </c>
      <c r="E128" s="70">
        <v>0</v>
      </c>
      <c r="F128" s="71">
        <f>F127+$C$99+((F127+$C$99)*(Rechner!$C$11-Rechner!$C$20))</f>
        <v>0</v>
      </c>
      <c r="G128" s="70">
        <f>(F128-$C$99*A128)*Rechner!$C$13</f>
        <v>0</v>
      </c>
      <c r="H128" s="69">
        <f t="shared" si="12"/>
        <v>0</v>
      </c>
    </row>
    <row r="129" spans="1:8" x14ac:dyDescent="0.2">
      <c r="A129" s="56">
        <v>31</v>
      </c>
      <c r="B129" s="57">
        <f t="shared" si="13"/>
        <v>2057</v>
      </c>
      <c r="C129" s="67">
        <f>Rechner!$C$7*12*A129</f>
        <v>0</v>
      </c>
      <c r="D129" s="67">
        <v>0</v>
      </c>
      <c r="E129" s="67">
        <v>0</v>
      </c>
      <c r="F129" s="68">
        <f>F128+$C$99+((F128+$C$99)*(Rechner!$C$11-Rechner!$C$20))</f>
        <v>0</v>
      </c>
      <c r="G129" s="67">
        <f>(F129-$C$99*A129)*Rechner!$C$13</f>
        <v>0</v>
      </c>
      <c r="H129" s="69">
        <f t="shared" si="12"/>
        <v>0</v>
      </c>
    </row>
    <row r="130" spans="1:8" x14ac:dyDescent="0.2">
      <c r="A130" s="58">
        <v>32</v>
      </c>
      <c r="B130" s="59">
        <f t="shared" si="13"/>
        <v>2058</v>
      </c>
      <c r="C130" s="70">
        <f>Rechner!$C$7*12*A130</f>
        <v>0</v>
      </c>
      <c r="D130" s="70">
        <v>0</v>
      </c>
      <c r="E130" s="70">
        <v>0</v>
      </c>
      <c r="F130" s="71">
        <f>F129+$C$99+((F129+$C$99)*(Rechner!$C$11-Rechner!$C$20))</f>
        <v>0</v>
      </c>
      <c r="G130" s="70">
        <f>(F130-$C$99*A130)*Rechner!$C$13</f>
        <v>0</v>
      </c>
      <c r="H130" s="69">
        <f t="shared" si="12"/>
        <v>0</v>
      </c>
    </row>
    <row r="131" spans="1:8" x14ac:dyDescent="0.2">
      <c r="A131" s="56">
        <v>33</v>
      </c>
      <c r="B131" s="57">
        <f t="shared" si="13"/>
        <v>2059</v>
      </c>
      <c r="C131" s="67">
        <f>Rechner!$C$7*12*A131</f>
        <v>0</v>
      </c>
      <c r="D131" s="67">
        <v>0</v>
      </c>
      <c r="E131" s="67">
        <v>0</v>
      </c>
      <c r="F131" s="68">
        <f>F130+$C$99+((F130+$C$99)*(Rechner!$C$11-Rechner!$C$20))</f>
        <v>0</v>
      </c>
      <c r="G131" s="67">
        <f>(F131-$C$99*A131)*Rechner!$C$13</f>
        <v>0</v>
      </c>
      <c r="H131" s="69">
        <f t="shared" si="12"/>
        <v>0</v>
      </c>
    </row>
    <row r="132" spans="1:8" x14ac:dyDescent="0.2">
      <c r="A132" s="58">
        <v>34</v>
      </c>
      <c r="B132" s="59">
        <f t="shared" si="13"/>
        <v>2060</v>
      </c>
      <c r="C132" s="70">
        <f>Rechner!$C$7*12*A132</f>
        <v>0</v>
      </c>
      <c r="D132" s="70">
        <v>0</v>
      </c>
      <c r="E132" s="70">
        <v>0</v>
      </c>
      <c r="F132" s="71">
        <f>F131+$C$99+((F131+$C$99)*(Rechner!$C$11-Rechner!$C$20))</f>
        <v>0</v>
      </c>
      <c r="G132" s="70">
        <f>(F132-$C$99*A132)*Rechner!$C$13</f>
        <v>0</v>
      </c>
      <c r="H132" s="69">
        <f t="shared" si="12"/>
        <v>0</v>
      </c>
    </row>
    <row r="133" spans="1:8" x14ac:dyDescent="0.2">
      <c r="A133" s="56">
        <v>35</v>
      </c>
      <c r="B133" s="57">
        <f t="shared" si="13"/>
        <v>2061</v>
      </c>
      <c r="C133" s="67">
        <f>Rechner!$C$7*12*A133</f>
        <v>0</v>
      </c>
      <c r="D133" s="67">
        <v>0</v>
      </c>
      <c r="E133" s="67">
        <v>0</v>
      </c>
      <c r="F133" s="68">
        <f>F132+$C$99+((F132+$C$99)*(Rechner!$C$11-Rechner!$C$20))</f>
        <v>0</v>
      </c>
      <c r="G133" s="67">
        <f>(F133-$C$99*A133)*Rechner!$C$13</f>
        <v>0</v>
      </c>
      <c r="H133" s="69">
        <f t="shared" si="12"/>
        <v>0</v>
      </c>
    </row>
    <row r="134" spans="1:8" x14ac:dyDescent="0.2">
      <c r="A134" s="58">
        <v>36</v>
      </c>
      <c r="B134" s="59">
        <f t="shared" si="13"/>
        <v>2062</v>
      </c>
      <c r="C134" s="70">
        <f>Rechner!$C$7*12*A134</f>
        <v>0</v>
      </c>
      <c r="D134" s="70">
        <v>0</v>
      </c>
      <c r="E134" s="70">
        <v>0</v>
      </c>
      <c r="F134" s="71">
        <f>F133+$C$99+((F133+$C$99)*(Rechner!$C$11-Rechner!$C$20))</f>
        <v>0</v>
      </c>
      <c r="G134" s="70">
        <f>(F134-$C$99*A134)*Rechner!$C$13</f>
        <v>0</v>
      </c>
      <c r="H134" s="69">
        <f t="shared" si="12"/>
        <v>0</v>
      </c>
    </row>
    <row r="135" spans="1:8" x14ac:dyDescent="0.2">
      <c r="A135" s="56">
        <v>37</v>
      </c>
      <c r="B135" s="57">
        <f t="shared" si="13"/>
        <v>2063</v>
      </c>
      <c r="C135" s="67">
        <f>Rechner!$C$7*12*A135</f>
        <v>0</v>
      </c>
      <c r="D135" s="67">
        <v>0</v>
      </c>
      <c r="E135" s="67">
        <v>0</v>
      </c>
      <c r="F135" s="68">
        <f>F134+$C$99+((F134+$C$99)*(Rechner!$C$11-Rechner!$C$20))</f>
        <v>0</v>
      </c>
      <c r="G135" s="67">
        <f>(F135-$C$99*A135)*Rechner!$C$13</f>
        <v>0</v>
      </c>
      <c r="H135" s="69">
        <f t="shared" si="12"/>
        <v>0</v>
      </c>
    </row>
    <row r="136" spans="1:8" x14ac:dyDescent="0.2">
      <c r="A136" s="58">
        <v>38</v>
      </c>
      <c r="B136" s="59">
        <f t="shared" si="13"/>
        <v>2064</v>
      </c>
      <c r="C136" s="70">
        <f>Rechner!$C$7*12*A136</f>
        <v>0</v>
      </c>
      <c r="D136" s="70">
        <v>0</v>
      </c>
      <c r="E136" s="70">
        <v>0</v>
      </c>
      <c r="F136" s="71">
        <f>F135+$C$99+((F135+$C$99)*(Rechner!$C$11-Rechner!$C$20))</f>
        <v>0</v>
      </c>
      <c r="G136" s="70">
        <f>(F136-$C$99*A136)*Rechner!$C$13</f>
        <v>0</v>
      </c>
      <c r="H136" s="69">
        <f t="shared" si="12"/>
        <v>0</v>
      </c>
    </row>
    <row r="137" spans="1:8" x14ac:dyDescent="0.2">
      <c r="A137" s="56">
        <v>39</v>
      </c>
      <c r="B137" s="57">
        <f t="shared" si="13"/>
        <v>2065</v>
      </c>
      <c r="C137" s="67">
        <f>Rechner!$C$7*12*A137</f>
        <v>0</v>
      </c>
      <c r="D137" s="67">
        <v>0</v>
      </c>
      <c r="E137" s="67">
        <v>0</v>
      </c>
      <c r="F137" s="68">
        <f>F136+$C$99+((F136+$C$99)*(Rechner!$C$11-Rechner!$C$20))</f>
        <v>0</v>
      </c>
      <c r="G137" s="67">
        <f>(F137-$C$99*A137)*Rechner!$C$13</f>
        <v>0</v>
      </c>
      <c r="H137" s="69">
        <f t="shared" si="12"/>
        <v>0</v>
      </c>
    </row>
    <row r="138" spans="1:8" x14ac:dyDescent="0.2">
      <c r="A138" s="58">
        <v>40</v>
      </c>
      <c r="B138" s="59">
        <f t="shared" si="13"/>
        <v>2066</v>
      </c>
      <c r="C138" s="70">
        <f>Rechner!$C$7*12*A138</f>
        <v>0</v>
      </c>
      <c r="D138" s="70">
        <v>0</v>
      </c>
      <c r="E138" s="70">
        <v>0</v>
      </c>
      <c r="F138" s="71">
        <f>F137+$C$99+((F137+$C$99)*(Rechner!$C$11-Rechner!$C$20))</f>
        <v>0</v>
      </c>
      <c r="G138" s="70">
        <f>(F138-$C$99*A138)*Rechner!$C$13</f>
        <v>0</v>
      </c>
      <c r="H138" s="69">
        <f t="shared" si="12"/>
        <v>0</v>
      </c>
    </row>
    <row r="139" spans="1:8" ht="17" x14ac:dyDescent="0.3">
      <c r="A139" s="83" t="s">
        <v>165</v>
      </c>
      <c r="B139" s="84"/>
      <c r="C139" s="73">
        <f>INDEX(C99:C138,MATCH(Rechner!$C$10,$A$99:$A$138,0))</f>
        <v>0</v>
      </c>
      <c r="D139" s="84"/>
      <c r="E139" s="85"/>
      <c r="F139" s="73">
        <f>INDEX(F99:F138,MATCH(Rechner!$C$10,$A$99:$A$138,0))</f>
        <v>0</v>
      </c>
      <c r="G139" s="73">
        <f>INDEX(G99:G138,MATCH(Rechner!C10,A99:A138,0))</f>
        <v>0</v>
      </c>
      <c r="H139" s="74">
        <f>INDEX(H99:H138,MATCH(Rechner!C10,A99:A138,0))</f>
        <v>0</v>
      </c>
    </row>
  </sheetData>
  <sheetProtection algorithmName="SHA-512" hashValue="IEo+8Vot8S8zxvIJznIyKpcMkSvrsWBeoGiA0BRPzfudjJkQLY7iiyhwvcveM/2gS0LM6321pr2YnJC8dp7VoA==" saltValue="amvey7Nq6T5aD5DoPnvkfA==" spinCount="100000" sheet="1" objects="1" scenarios="1"/>
  <mergeCells count="11">
    <mergeCell ref="A50:H50"/>
    <mergeCell ref="A96:H96"/>
    <mergeCell ref="A97:H97"/>
    <mergeCell ref="A51:H51"/>
    <mergeCell ref="A1:Q1"/>
    <mergeCell ref="A2:Q2"/>
    <mergeCell ref="A47:E47"/>
    <mergeCell ref="A4:H4"/>
    <mergeCell ref="J4:Q4"/>
    <mergeCell ref="A5:H5"/>
    <mergeCell ref="J5:Q5"/>
  </mergeCells>
  <pageMargins left="0.75" right="0.75" top="1" bottom="1" header="0.511811023622047" footer="0.511811023622047"/>
  <pageSetup paperSize="9" orientation="portrait" horizontalDpi="300" verticalDpi="300"/>
  <ignoredErrors>
    <ignoredError sqref="M7:M4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1"/>
  <sheetViews>
    <sheetView showGridLines="0" topLeftCell="A62" zoomScale="196" zoomScaleNormal="196" workbookViewId="0">
      <selection activeCell="C60" sqref="C60"/>
    </sheetView>
  </sheetViews>
  <sheetFormatPr baseColWidth="10" defaultColWidth="8.6640625" defaultRowHeight="15" x14ac:dyDescent="0.2"/>
  <cols>
    <col min="1" max="1" width="2" customWidth="1"/>
    <col min="2" max="2" width="38" customWidth="1"/>
    <col min="3" max="3" width="20" customWidth="1"/>
    <col min="4" max="4" width="22" customWidth="1"/>
    <col min="5" max="5" width="2" customWidth="1"/>
  </cols>
  <sheetData>
    <row r="1" spans="1:5" ht="30" customHeight="1" x14ac:dyDescent="0.2">
      <c r="A1" s="119" t="s">
        <v>41</v>
      </c>
      <c r="B1" s="119"/>
      <c r="C1" s="119"/>
      <c r="D1" s="119"/>
      <c r="E1" s="119"/>
    </row>
    <row r="2" spans="1:5" ht="15.75" customHeight="1" x14ac:dyDescent="0.2">
      <c r="A2" s="98" t="s">
        <v>42</v>
      </c>
      <c r="B2" s="98"/>
      <c r="C2" s="98"/>
      <c r="D2" s="98"/>
      <c r="E2" s="98"/>
    </row>
    <row r="4" spans="1:5" ht="21.75" customHeight="1" x14ac:dyDescent="0.2">
      <c r="B4" s="99" t="s">
        <v>43</v>
      </c>
      <c r="C4" s="99"/>
      <c r="D4" s="99"/>
    </row>
    <row r="5" spans="1:5" ht="31.5" customHeight="1" x14ac:dyDescent="0.2">
      <c r="B5" s="120" t="s">
        <v>44</v>
      </c>
      <c r="C5" s="120"/>
      <c r="D5" s="120"/>
    </row>
    <row r="7" spans="1:5" ht="18" customHeight="1" x14ac:dyDescent="0.2">
      <c r="B7" s="100" t="s">
        <v>45</v>
      </c>
      <c r="C7" s="100"/>
      <c r="D7" s="100"/>
    </row>
    <row r="8" spans="1:5" ht="18" customHeight="1" x14ac:dyDescent="0.2">
      <c r="B8" s="27" t="s">
        <v>46</v>
      </c>
      <c r="C8" s="47">
        <v>20</v>
      </c>
    </row>
    <row r="9" spans="1:5" ht="18" customHeight="1" x14ac:dyDescent="0.2">
      <c r="B9" s="27" t="s">
        <v>47</v>
      </c>
      <c r="C9" s="31">
        <f>Jahresverlauf!F47</f>
        <v>178821.46446656165</v>
      </c>
      <c r="D9" s="87"/>
    </row>
    <row r="10" spans="1:5" ht="18" customHeight="1" x14ac:dyDescent="0.2">
      <c r="B10" s="27" t="s">
        <v>186</v>
      </c>
      <c r="C10" s="31">
        <f>Jahresverlauf!F93</f>
        <v>178821.46446656165</v>
      </c>
      <c r="D10" s="87"/>
    </row>
    <row r="11" spans="1:5" ht="18" customHeight="1" x14ac:dyDescent="0.2">
      <c r="B11" s="27" t="s">
        <v>187</v>
      </c>
      <c r="C11" s="31">
        <f>Jahresverlauf!F139</f>
        <v>0</v>
      </c>
      <c r="D11" s="87"/>
    </row>
    <row r="12" spans="1:5" ht="18" customHeight="1" x14ac:dyDescent="0.2">
      <c r="B12" s="27" t="s">
        <v>48</v>
      </c>
      <c r="C12" s="33">
        <f>Rechner!C13</f>
        <v>0.25</v>
      </c>
    </row>
    <row r="13" spans="1:5" ht="18" customHeight="1" x14ac:dyDescent="0.2">
      <c r="B13" s="78" t="s">
        <v>171</v>
      </c>
      <c r="C13" s="81">
        <f>Rechner!C15</f>
        <v>67</v>
      </c>
    </row>
    <row r="14" spans="1:5" ht="38" customHeight="1" x14ac:dyDescent="0.2">
      <c r="B14" s="78" t="s">
        <v>172</v>
      </c>
      <c r="C14" s="82">
        <f>INDEX(C92:C191,MATCH(C13,B92:B191,0))</f>
        <v>0.17</v>
      </c>
    </row>
    <row r="15" spans="1:5" ht="55" customHeight="1" x14ac:dyDescent="0.2">
      <c r="B15" s="118" t="s">
        <v>151</v>
      </c>
      <c r="C15" s="118"/>
    </row>
    <row r="16" spans="1:5" ht="18" customHeight="1" x14ac:dyDescent="0.2"/>
    <row r="17" spans="2:3" ht="19" customHeight="1" x14ac:dyDescent="0.2">
      <c r="B17" s="117" t="s">
        <v>173</v>
      </c>
      <c r="C17" s="117"/>
    </row>
    <row r="18" spans="2:3" ht="19" customHeight="1" x14ac:dyDescent="0.2">
      <c r="B18" s="12" t="s">
        <v>174</v>
      </c>
      <c r="C18" s="13">
        <f>C10</f>
        <v>178821.46446656165</v>
      </c>
    </row>
    <row r="19" spans="2:3" ht="19" customHeight="1" x14ac:dyDescent="0.2">
      <c r="B19" s="12" t="s">
        <v>49</v>
      </c>
      <c r="C19" s="13">
        <f>IFERROR(C10/C8,0)</f>
        <v>8941.0732233280833</v>
      </c>
    </row>
    <row r="20" spans="2:3" ht="26" x14ac:dyDescent="0.2">
      <c r="B20" s="12" t="s">
        <v>50</v>
      </c>
      <c r="C20" s="13">
        <f>C19*C12</f>
        <v>2235.2683058320208</v>
      </c>
    </row>
    <row r="21" spans="2:3" ht="19" customHeight="1" x14ac:dyDescent="0.2">
      <c r="B21" s="10" t="s">
        <v>51</v>
      </c>
      <c r="C21" s="1">
        <f>C19-C20</f>
        <v>6705.8049174960624</v>
      </c>
    </row>
    <row r="22" spans="2:3" ht="19" customHeight="1" x14ac:dyDescent="0.2">
      <c r="B22" s="10" t="s">
        <v>52</v>
      </c>
      <c r="C22" s="1">
        <f>C21*C8</f>
        <v>134116.09834992126</v>
      </c>
    </row>
    <row r="23" spans="2:3" ht="19" customHeight="1" x14ac:dyDescent="0.2">
      <c r="B23" s="12" t="s">
        <v>53</v>
      </c>
      <c r="C23" s="13">
        <f>C20*C8</f>
        <v>44705.36611664042</v>
      </c>
    </row>
    <row r="24" spans="2:3" ht="19" customHeight="1" x14ac:dyDescent="0.2">
      <c r="B24" s="12" t="s">
        <v>54</v>
      </c>
      <c r="C24" s="39">
        <f>IFERROR(C22/C18,0)</f>
        <v>0.75000000000000011</v>
      </c>
    </row>
    <row r="25" spans="2:3" ht="19" customHeight="1" x14ac:dyDescent="0.2">
      <c r="B25" s="17" t="s">
        <v>55</v>
      </c>
      <c r="C25" s="18">
        <f>Jahresverlauf!C93</f>
        <v>54000</v>
      </c>
    </row>
    <row r="26" spans="2:3" ht="19" customHeight="1" x14ac:dyDescent="0.2">
      <c r="B26" s="10" t="s">
        <v>56</v>
      </c>
      <c r="C26" s="1">
        <f>C22-C25</f>
        <v>80116.09834992126</v>
      </c>
    </row>
    <row r="27" spans="2:3" ht="19" customHeight="1" x14ac:dyDescent="0.2"/>
    <row r="28" spans="2:3" ht="19" customHeight="1" x14ac:dyDescent="0.2">
      <c r="B28" s="117" t="s">
        <v>176</v>
      </c>
      <c r="C28" s="117"/>
    </row>
    <row r="29" spans="2:3" ht="19" customHeight="1" x14ac:dyDescent="0.2">
      <c r="B29" s="12" t="s">
        <v>174</v>
      </c>
      <c r="C29" s="13">
        <f>C11</f>
        <v>0</v>
      </c>
    </row>
    <row r="30" spans="2:3" ht="19" customHeight="1" x14ac:dyDescent="0.2">
      <c r="B30" s="12" t="s">
        <v>49</v>
      </c>
      <c r="C30" s="13">
        <f>IFERROR(C29/C8,0)</f>
        <v>0</v>
      </c>
    </row>
    <row r="31" spans="2:3" ht="26" customHeight="1" x14ac:dyDescent="0.2">
      <c r="B31" s="12" t="s">
        <v>175</v>
      </c>
      <c r="C31" s="13">
        <f>C30*C14</f>
        <v>0</v>
      </c>
    </row>
    <row r="32" spans="2:3" ht="19" customHeight="1" x14ac:dyDescent="0.2">
      <c r="B32" s="10" t="s">
        <v>51</v>
      </c>
      <c r="C32" s="1">
        <f>C30-C31</f>
        <v>0</v>
      </c>
    </row>
    <row r="33" spans="2:4" ht="19" customHeight="1" x14ac:dyDescent="0.2">
      <c r="B33" s="10" t="s">
        <v>52</v>
      </c>
      <c r="C33" s="1">
        <f>C32*C8</f>
        <v>0</v>
      </c>
      <c r="D33" s="7"/>
    </row>
    <row r="34" spans="2:4" ht="19" customHeight="1" x14ac:dyDescent="0.2">
      <c r="B34" s="12" t="s">
        <v>53</v>
      </c>
      <c r="C34" s="13">
        <f>C31*C8</f>
        <v>0</v>
      </c>
    </row>
    <row r="35" spans="2:4" ht="19" customHeight="1" x14ac:dyDescent="0.2">
      <c r="B35" s="12" t="s">
        <v>54</v>
      </c>
      <c r="C35" s="39">
        <f>IFERROR(C33/C29,0)</f>
        <v>0</v>
      </c>
    </row>
    <row r="36" spans="2:4" ht="19" customHeight="1" x14ac:dyDescent="0.2">
      <c r="B36" s="17" t="s">
        <v>55</v>
      </c>
      <c r="C36" s="18">
        <f>Jahresverlauf!C139</f>
        <v>0</v>
      </c>
    </row>
    <row r="37" spans="2:4" ht="19" customHeight="1" x14ac:dyDescent="0.2">
      <c r="B37" s="10" t="s">
        <v>56</v>
      </c>
      <c r="C37" s="1">
        <f>C33-C36</f>
        <v>0</v>
      </c>
    </row>
    <row r="38" spans="2:4" ht="19" customHeight="1" x14ac:dyDescent="0.2"/>
    <row r="39" spans="2:4" ht="28" customHeight="1" x14ac:dyDescent="0.2">
      <c r="B39" s="117" t="s">
        <v>181</v>
      </c>
      <c r="C39" s="117"/>
    </row>
    <row r="40" spans="2:4" ht="19" customHeight="1" x14ac:dyDescent="0.2">
      <c r="B40" s="12" t="s">
        <v>174</v>
      </c>
      <c r="C40" s="13">
        <f>C29</f>
        <v>0</v>
      </c>
    </row>
    <row r="41" spans="2:4" ht="19" customHeight="1" x14ac:dyDescent="0.2">
      <c r="B41" s="12" t="s">
        <v>177</v>
      </c>
      <c r="C41" s="13">
        <f>Jahresverlauf!C139</f>
        <v>0</v>
      </c>
    </row>
    <row r="42" spans="2:4" ht="19" customHeight="1" x14ac:dyDescent="0.2">
      <c r="B42" s="12" t="s">
        <v>178</v>
      </c>
      <c r="C42" s="13">
        <f>C40-C41</f>
        <v>0</v>
      </c>
    </row>
    <row r="43" spans="2:4" ht="19" customHeight="1" x14ac:dyDescent="0.2">
      <c r="B43" s="12" t="s">
        <v>179</v>
      </c>
      <c r="C43" s="13" t="str">
        <f>IF(LEFT(Kündigung!C17,2)="JA","JA","NEIN")</f>
        <v>JA</v>
      </c>
    </row>
    <row r="44" spans="2:4" ht="19" customHeight="1" x14ac:dyDescent="0.2">
      <c r="B44" s="12" t="s">
        <v>180</v>
      </c>
      <c r="C44" s="13">
        <f>IF(C43="JA",C42/2,C42)</f>
        <v>0</v>
      </c>
    </row>
    <row r="45" spans="2:4" ht="19" customHeight="1" x14ac:dyDescent="0.2">
      <c r="B45" s="12" t="s">
        <v>49</v>
      </c>
      <c r="C45" s="13">
        <f>C30</f>
        <v>0</v>
      </c>
    </row>
    <row r="46" spans="2:4" ht="26" customHeight="1" x14ac:dyDescent="0.2">
      <c r="B46" s="12" t="s">
        <v>188</v>
      </c>
      <c r="C46" s="13">
        <f>C44/C8*C12</f>
        <v>0</v>
      </c>
    </row>
    <row r="47" spans="2:4" ht="18" customHeight="1" x14ac:dyDescent="0.2">
      <c r="B47" s="12" t="s">
        <v>191</v>
      </c>
      <c r="C47" s="90">
        <f>IF(C46=0,0,C46/C45)</f>
        <v>0</v>
      </c>
    </row>
    <row r="48" spans="2:4" ht="19" customHeight="1" x14ac:dyDescent="0.2">
      <c r="B48" s="10" t="s">
        <v>51</v>
      </c>
      <c r="C48" s="1">
        <f>C45-C46</f>
        <v>0</v>
      </c>
    </row>
    <row r="49" spans="2:4" ht="19" customHeight="1" x14ac:dyDescent="0.2">
      <c r="B49" s="10" t="s">
        <v>52</v>
      </c>
      <c r="C49" s="1">
        <f>C48*C8</f>
        <v>0</v>
      </c>
    </row>
    <row r="50" spans="2:4" ht="19" customHeight="1" x14ac:dyDescent="0.2">
      <c r="B50" s="12" t="s">
        <v>53</v>
      </c>
      <c r="C50" s="13">
        <f>C46*C8</f>
        <v>0</v>
      </c>
      <c r="D50" s="91" t="str">
        <f>IF(C50=0,""," Hinweis: "&amp;IF(C34&lt;C50,"Lebenslange Auszahlungsplan steuerlich günstiger","nicht lebenslanger Auszahlungsplan günstiger"))</f>
        <v/>
      </c>
    </row>
    <row r="51" spans="2:4" ht="19" customHeight="1" x14ac:dyDescent="0.2">
      <c r="B51" s="12" t="s">
        <v>54</v>
      </c>
      <c r="C51" s="39">
        <f>IFERROR(C49/C40,0)</f>
        <v>0</v>
      </c>
    </row>
    <row r="52" spans="2:4" ht="19" customHeight="1" x14ac:dyDescent="0.2">
      <c r="B52" s="17" t="s">
        <v>55</v>
      </c>
      <c r="C52" s="18">
        <f>C41</f>
        <v>0</v>
      </c>
    </row>
    <row r="53" spans="2:4" ht="19" customHeight="1" x14ac:dyDescent="0.2">
      <c r="B53" s="10" t="s">
        <v>56</v>
      </c>
      <c r="C53" s="1">
        <f>C49-C52</f>
        <v>0</v>
      </c>
    </row>
    <row r="54" spans="2:4" ht="19" customHeight="1" x14ac:dyDescent="0.2"/>
    <row r="55" spans="2:4" ht="26" customHeight="1" x14ac:dyDescent="0.2">
      <c r="B55" s="10" t="s">
        <v>200</v>
      </c>
      <c r="C55" s="1">
        <f>MAX(C33,C49)+C22</f>
        <v>134116.09834992126</v>
      </c>
    </row>
    <row r="56" spans="2:4" ht="19" customHeight="1" x14ac:dyDescent="0.2">
      <c r="B56" s="12" t="s">
        <v>201</v>
      </c>
      <c r="C56" s="13">
        <f>C23+(MIN(C50,C34))</f>
        <v>44705.36611664042</v>
      </c>
    </row>
    <row r="58" spans="2:4" ht="18" customHeight="1" x14ac:dyDescent="0.2">
      <c r="B58" s="99" t="s">
        <v>57</v>
      </c>
      <c r="C58" s="99"/>
      <c r="D58" s="99"/>
    </row>
    <row r="59" spans="2:4" ht="64" customHeight="1" x14ac:dyDescent="0.2">
      <c r="B59" s="118" t="s">
        <v>182</v>
      </c>
      <c r="C59" s="118"/>
    </row>
    <row r="60" spans="2:4" ht="18" customHeight="1" x14ac:dyDescent="0.2">
      <c r="B60" s="12" t="s">
        <v>58</v>
      </c>
      <c r="C60" s="48">
        <v>0.3</v>
      </c>
      <c r="D60" t="str">
        <f>IF(C60&gt;0.3,"⚠️ Fehlerhafte Eingabe. Die Teilkapitalentnahme darf nicht über 30 % liegen!","")</f>
        <v/>
      </c>
    </row>
    <row r="61" spans="2:4" ht="18" customHeight="1" x14ac:dyDescent="0.2">
      <c r="B61" s="12" t="s">
        <v>183</v>
      </c>
      <c r="C61" s="13">
        <f>C60*C9</f>
        <v>53646.439339968492</v>
      </c>
    </row>
    <row r="62" spans="2:4" ht="18" customHeight="1" x14ac:dyDescent="0.2">
      <c r="B62" s="12" t="s">
        <v>59</v>
      </c>
      <c r="C62" s="88">
        <f>C8</f>
        <v>20</v>
      </c>
    </row>
    <row r="63" spans="2:4" ht="18" customHeight="1" x14ac:dyDescent="0.2">
      <c r="B63" s="12" t="s">
        <v>185</v>
      </c>
      <c r="C63" s="13">
        <f>C9</f>
        <v>178821.46446656165</v>
      </c>
    </row>
    <row r="64" spans="2:4" ht="18" customHeight="1" x14ac:dyDescent="0.2">
      <c r="B64" s="12" t="s">
        <v>184</v>
      </c>
      <c r="C64" s="13">
        <f>C9-C61</f>
        <v>125175.02512659316</v>
      </c>
    </row>
    <row r="65" spans="2:4" ht="18" customHeight="1" x14ac:dyDescent="0.2">
      <c r="B65" s="12" t="s">
        <v>186</v>
      </c>
      <c r="C65" s="13">
        <f>C10-MAX(0,C61-C11)</f>
        <v>125175.02512659316</v>
      </c>
      <c r="D65" s="89"/>
    </row>
    <row r="66" spans="2:4" ht="18" customHeight="1" x14ac:dyDescent="0.2">
      <c r="B66" s="12" t="s">
        <v>187</v>
      </c>
      <c r="C66" s="13">
        <f>C11-MIN(C61,C11)</f>
        <v>0</v>
      </c>
      <c r="D66" s="86"/>
    </row>
    <row r="67" spans="2:4" ht="18" customHeight="1" x14ac:dyDescent="0.2"/>
    <row r="68" spans="2:4" ht="18" customHeight="1" x14ac:dyDescent="0.2">
      <c r="B68" s="12" t="s">
        <v>124</v>
      </c>
      <c r="C68" s="13">
        <f>C9*C60</f>
        <v>53646.439339968492</v>
      </c>
    </row>
    <row r="69" spans="2:4" ht="29" customHeight="1" x14ac:dyDescent="0.2">
      <c r="B69" s="12" t="s">
        <v>189</v>
      </c>
      <c r="C69" s="13">
        <f>(IF(C50=0,0,(1-C66/C40)*C50))</f>
        <v>0</v>
      </c>
    </row>
    <row r="70" spans="2:4" ht="26" customHeight="1" x14ac:dyDescent="0.2">
      <c r="B70" s="12" t="s">
        <v>190</v>
      </c>
      <c r="C70" s="13">
        <f>(C10-C65)*C12</f>
        <v>13411.609834992123</v>
      </c>
    </row>
    <row r="71" spans="2:4" ht="18" customHeight="1" x14ac:dyDescent="0.2">
      <c r="B71" s="10" t="s">
        <v>60</v>
      </c>
      <c r="C71" s="1">
        <f>C68-C69-C70</f>
        <v>40234.829504976369</v>
      </c>
    </row>
    <row r="72" spans="2:4" ht="18" customHeight="1" x14ac:dyDescent="0.2"/>
    <row r="73" spans="2:4" ht="18" customHeight="1" x14ac:dyDescent="0.2">
      <c r="B73" s="27" t="s">
        <v>61</v>
      </c>
      <c r="C73" s="31">
        <f>C64</f>
        <v>125175.02512659316</v>
      </c>
    </row>
    <row r="74" spans="2:4" ht="18" customHeight="1" x14ac:dyDescent="0.2">
      <c r="B74" s="12" t="s">
        <v>186</v>
      </c>
      <c r="C74" s="13">
        <f>C65</f>
        <v>125175.02512659316</v>
      </c>
    </row>
    <row r="75" spans="2:4" ht="18" customHeight="1" x14ac:dyDescent="0.2">
      <c r="B75" s="12" t="s">
        <v>187</v>
      </c>
      <c r="C75" s="13">
        <f>C66</f>
        <v>0</v>
      </c>
    </row>
    <row r="76" spans="2:4" ht="25" customHeight="1" x14ac:dyDescent="0.2">
      <c r="B76" s="12" t="s">
        <v>192</v>
      </c>
      <c r="C76" s="13">
        <f>C74*C12</f>
        <v>31293.75628164829</v>
      </c>
    </row>
    <row r="77" spans="2:4" ht="25" customHeight="1" x14ac:dyDescent="0.2">
      <c r="B77" s="12" t="s">
        <v>193</v>
      </c>
      <c r="C77" s="13">
        <f>C75*C47</f>
        <v>0</v>
      </c>
    </row>
    <row r="78" spans="2:4" ht="18" customHeight="1" x14ac:dyDescent="0.2">
      <c r="B78" s="12" t="s">
        <v>62</v>
      </c>
      <c r="C78" s="13">
        <f>(C73)/C8</f>
        <v>6258.7512563296577</v>
      </c>
    </row>
    <row r="79" spans="2:4" ht="18" customHeight="1" x14ac:dyDescent="0.2">
      <c r="B79" s="12" t="s">
        <v>63</v>
      </c>
      <c r="C79" s="13">
        <f>(C76+C77)/C8</f>
        <v>1564.6878140824144</v>
      </c>
    </row>
    <row r="80" spans="2:4" ht="18" customHeight="1" x14ac:dyDescent="0.2">
      <c r="B80" s="10" t="s">
        <v>51</v>
      </c>
      <c r="C80" s="1">
        <f>C78-C79</f>
        <v>4694.0634422472431</v>
      </c>
    </row>
    <row r="81" spans="2:4" ht="18" customHeight="1" x14ac:dyDescent="0.2">
      <c r="B81" s="10" t="s">
        <v>64</v>
      </c>
      <c r="C81" s="1">
        <f>C80*C8</f>
        <v>93881.268844944861</v>
      </c>
    </row>
    <row r="82" spans="2:4" ht="18" customHeight="1" x14ac:dyDescent="0.2"/>
    <row r="83" spans="2:4" ht="24" customHeight="1" x14ac:dyDescent="0.2">
      <c r="B83" s="10" t="s">
        <v>65</v>
      </c>
      <c r="C83" s="1">
        <f>C71+C81</f>
        <v>134116.09834992123</v>
      </c>
    </row>
    <row r="84" spans="2:4" ht="18" customHeight="1" x14ac:dyDescent="0.2">
      <c r="B84" s="12" t="s">
        <v>66</v>
      </c>
      <c r="C84" s="13">
        <f>C9-C83</f>
        <v>44705.36611664042</v>
      </c>
      <c r="D84" s="7"/>
    </row>
    <row r="85" spans="2:4" ht="18" customHeight="1" x14ac:dyDescent="0.2"/>
    <row r="86" spans="2:4" ht="27.75" customHeight="1" x14ac:dyDescent="0.2">
      <c r="B86" s="96" t="s">
        <v>133</v>
      </c>
      <c r="C86" s="96"/>
      <c r="D86" s="96"/>
    </row>
    <row r="88" spans="2:4" ht="20" customHeight="1" x14ac:dyDescent="0.2">
      <c r="B88" s="99" t="s">
        <v>167</v>
      </c>
      <c r="C88" s="99"/>
      <c r="D88" s="99"/>
    </row>
    <row r="89" spans="2:4" ht="43" customHeight="1" x14ac:dyDescent="0.2">
      <c r="B89" s="115" t="s">
        <v>168</v>
      </c>
      <c r="C89" s="116"/>
    </row>
    <row r="90" spans="2:4" x14ac:dyDescent="0.2">
      <c r="B90" s="12"/>
      <c r="C90" s="13"/>
    </row>
    <row r="91" spans="2:4" x14ac:dyDescent="0.2">
      <c r="B91" s="12" t="s">
        <v>169</v>
      </c>
      <c r="C91" s="13" t="s">
        <v>170</v>
      </c>
    </row>
    <row r="92" spans="2:4" x14ac:dyDescent="0.2">
      <c r="B92" s="12">
        <v>1</v>
      </c>
      <c r="C92" s="80">
        <v>0.59</v>
      </c>
    </row>
    <row r="93" spans="2:4" x14ac:dyDescent="0.2">
      <c r="B93" s="12">
        <v>2</v>
      </c>
      <c r="C93" s="80">
        <v>0.59</v>
      </c>
    </row>
    <row r="94" spans="2:4" x14ac:dyDescent="0.2">
      <c r="B94" s="12">
        <v>3</v>
      </c>
      <c r="C94" s="80">
        <v>0.57999999999999996</v>
      </c>
    </row>
    <row r="95" spans="2:4" x14ac:dyDescent="0.2">
      <c r="B95" s="12">
        <v>4</v>
      </c>
      <c r="C95" s="80">
        <v>0.57999999999999996</v>
      </c>
    </row>
    <row r="96" spans="2:4" x14ac:dyDescent="0.2">
      <c r="B96" s="12">
        <v>5</v>
      </c>
      <c r="C96" s="80">
        <v>0.56999999999999995</v>
      </c>
    </row>
    <row r="97" spans="2:3" x14ac:dyDescent="0.2">
      <c r="B97" s="12">
        <v>6</v>
      </c>
      <c r="C97" s="80">
        <v>0.56999999999999995</v>
      </c>
    </row>
    <row r="98" spans="2:3" x14ac:dyDescent="0.2">
      <c r="B98" s="12">
        <v>7</v>
      </c>
      <c r="C98" s="80">
        <v>0.56000000000000005</v>
      </c>
    </row>
    <row r="99" spans="2:3" x14ac:dyDescent="0.2">
      <c r="B99" s="12">
        <v>8</v>
      </c>
      <c r="C99" s="80">
        <v>0.56000000000000005</v>
      </c>
    </row>
    <row r="100" spans="2:3" x14ac:dyDescent="0.2">
      <c r="B100" s="12">
        <v>9</v>
      </c>
      <c r="C100" s="80">
        <v>0.55000000000000004</v>
      </c>
    </row>
    <row r="101" spans="2:3" x14ac:dyDescent="0.2">
      <c r="B101" s="12">
        <v>10</v>
      </c>
      <c r="C101" s="80">
        <v>0.55000000000000004</v>
      </c>
    </row>
    <row r="102" spans="2:3" x14ac:dyDescent="0.2">
      <c r="B102" s="12">
        <v>11</v>
      </c>
      <c r="C102" s="80">
        <v>0.54</v>
      </c>
    </row>
    <row r="103" spans="2:3" x14ac:dyDescent="0.2">
      <c r="B103" s="12">
        <v>12</v>
      </c>
      <c r="C103" s="80">
        <v>0.54</v>
      </c>
    </row>
    <row r="104" spans="2:3" x14ac:dyDescent="0.2">
      <c r="B104" s="12">
        <v>13</v>
      </c>
      <c r="C104" s="80">
        <v>0.53</v>
      </c>
    </row>
    <row r="105" spans="2:3" x14ac:dyDescent="0.2">
      <c r="B105" s="12">
        <v>14</v>
      </c>
      <c r="C105" s="80">
        <v>0.53</v>
      </c>
    </row>
    <row r="106" spans="2:3" x14ac:dyDescent="0.2">
      <c r="B106" s="12">
        <v>15</v>
      </c>
      <c r="C106" s="80">
        <v>0.52</v>
      </c>
    </row>
    <row r="107" spans="2:3" x14ac:dyDescent="0.2">
      <c r="B107" s="12">
        <v>16</v>
      </c>
      <c r="C107" s="80">
        <v>0.52</v>
      </c>
    </row>
    <row r="108" spans="2:3" x14ac:dyDescent="0.2">
      <c r="B108" s="12">
        <v>17</v>
      </c>
      <c r="C108" s="80">
        <v>0.51</v>
      </c>
    </row>
    <row r="109" spans="2:3" x14ac:dyDescent="0.2">
      <c r="B109" s="12">
        <v>18</v>
      </c>
      <c r="C109" s="80">
        <v>0.51</v>
      </c>
    </row>
    <row r="110" spans="2:3" x14ac:dyDescent="0.2">
      <c r="B110" s="12">
        <v>19</v>
      </c>
      <c r="C110" s="80">
        <v>0.5</v>
      </c>
    </row>
    <row r="111" spans="2:3" x14ac:dyDescent="0.2">
      <c r="B111" s="12">
        <v>20</v>
      </c>
      <c r="C111" s="80">
        <v>0.5</v>
      </c>
    </row>
    <row r="112" spans="2:3" x14ac:dyDescent="0.2">
      <c r="B112" s="12">
        <v>21</v>
      </c>
      <c r="C112" s="80">
        <v>0.49</v>
      </c>
    </row>
    <row r="113" spans="2:3" x14ac:dyDescent="0.2">
      <c r="B113" s="12">
        <v>22</v>
      </c>
      <c r="C113" s="80">
        <v>0.49</v>
      </c>
    </row>
    <row r="114" spans="2:3" x14ac:dyDescent="0.2">
      <c r="B114" s="12">
        <v>23</v>
      </c>
      <c r="C114" s="80">
        <v>0.48</v>
      </c>
    </row>
    <row r="115" spans="2:3" x14ac:dyDescent="0.2">
      <c r="B115" s="12">
        <v>24</v>
      </c>
      <c r="C115" s="80">
        <v>0.48</v>
      </c>
    </row>
    <row r="116" spans="2:3" x14ac:dyDescent="0.2">
      <c r="B116" s="12">
        <v>25</v>
      </c>
      <c r="C116" s="80">
        <v>0.47</v>
      </c>
    </row>
    <row r="117" spans="2:3" x14ac:dyDescent="0.2">
      <c r="B117" s="12">
        <v>26</v>
      </c>
      <c r="C117" s="80">
        <v>0.47</v>
      </c>
    </row>
    <row r="118" spans="2:3" x14ac:dyDescent="0.2">
      <c r="B118" s="12">
        <v>27</v>
      </c>
      <c r="C118" s="80">
        <v>0.46</v>
      </c>
    </row>
    <row r="119" spans="2:3" x14ac:dyDescent="0.2">
      <c r="B119" s="12">
        <v>28</v>
      </c>
      <c r="C119" s="80">
        <v>0.45</v>
      </c>
    </row>
    <row r="120" spans="2:3" x14ac:dyDescent="0.2">
      <c r="B120" s="12">
        <v>29</v>
      </c>
      <c r="C120" s="80">
        <v>0.45</v>
      </c>
    </row>
    <row r="121" spans="2:3" x14ac:dyDescent="0.2">
      <c r="B121" s="12">
        <v>30</v>
      </c>
      <c r="C121" s="80">
        <v>0.44</v>
      </c>
    </row>
    <row r="122" spans="2:3" x14ac:dyDescent="0.2">
      <c r="B122" s="12">
        <v>31</v>
      </c>
      <c r="C122" s="80">
        <v>0.44</v>
      </c>
    </row>
    <row r="123" spans="2:3" x14ac:dyDescent="0.2">
      <c r="B123" s="12">
        <v>32</v>
      </c>
      <c r="C123" s="80">
        <v>0.43</v>
      </c>
    </row>
    <row r="124" spans="2:3" x14ac:dyDescent="0.2">
      <c r="B124" s="12">
        <v>33</v>
      </c>
      <c r="C124" s="80">
        <v>0.42</v>
      </c>
    </row>
    <row r="125" spans="2:3" x14ac:dyDescent="0.2">
      <c r="B125" s="12">
        <v>34</v>
      </c>
      <c r="C125" s="80">
        <v>0.42</v>
      </c>
    </row>
    <row r="126" spans="2:3" x14ac:dyDescent="0.2">
      <c r="B126" s="12">
        <v>35</v>
      </c>
      <c r="C126" s="80">
        <v>0.41</v>
      </c>
    </row>
    <row r="127" spans="2:3" x14ac:dyDescent="0.2">
      <c r="B127" s="12">
        <v>36</v>
      </c>
      <c r="C127" s="80">
        <v>0.4</v>
      </c>
    </row>
    <row r="128" spans="2:3" x14ac:dyDescent="0.2">
      <c r="B128" s="12">
        <v>37</v>
      </c>
      <c r="C128" s="80">
        <v>0.4</v>
      </c>
    </row>
    <row r="129" spans="2:3" x14ac:dyDescent="0.2">
      <c r="B129" s="12">
        <v>38</v>
      </c>
      <c r="C129" s="80">
        <v>0.39</v>
      </c>
    </row>
    <row r="130" spans="2:3" x14ac:dyDescent="0.2">
      <c r="B130" s="12">
        <v>39</v>
      </c>
      <c r="C130" s="80">
        <v>0.38</v>
      </c>
    </row>
    <row r="131" spans="2:3" x14ac:dyDescent="0.2">
      <c r="B131" s="12">
        <v>40</v>
      </c>
      <c r="C131" s="80">
        <v>0.38</v>
      </c>
    </row>
    <row r="132" spans="2:3" x14ac:dyDescent="0.2">
      <c r="B132" s="12">
        <v>41</v>
      </c>
      <c r="C132" s="80">
        <v>0.37</v>
      </c>
    </row>
    <row r="133" spans="2:3" x14ac:dyDescent="0.2">
      <c r="B133" s="12">
        <v>42</v>
      </c>
      <c r="C133" s="80">
        <v>0.36</v>
      </c>
    </row>
    <row r="134" spans="2:3" x14ac:dyDescent="0.2">
      <c r="B134" s="12">
        <v>43</v>
      </c>
      <c r="C134" s="80">
        <v>0.35</v>
      </c>
    </row>
    <row r="135" spans="2:3" x14ac:dyDescent="0.2">
      <c r="B135" s="12">
        <v>44</v>
      </c>
      <c r="C135" s="80">
        <v>0.35</v>
      </c>
    </row>
    <row r="136" spans="2:3" x14ac:dyDescent="0.2">
      <c r="B136" s="12">
        <v>45</v>
      </c>
      <c r="C136" s="80">
        <v>0.34</v>
      </c>
    </row>
    <row r="137" spans="2:3" x14ac:dyDescent="0.2">
      <c r="B137" s="12">
        <v>46</v>
      </c>
      <c r="C137" s="80">
        <v>0.33</v>
      </c>
    </row>
    <row r="138" spans="2:3" x14ac:dyDescent="0.2">
      <c r="B138" s="12">
        <v>47</v>
      </c>
      <c r="C138" s="80">
        <v>0.33</v>
      </c>
    </row>
    <row r="139" spans="2:3" x14ac:dyDescent="0.2">
      <c r="B139" s="12">
        <v>48</v>
      </c>
      <c r="C139" s="80">
        <v>0.32</v>
      </c>
    </row>
    <row r="140" spans="2:3" x14ac:dyDescent="0.2">
      <c r="B140" s="12">
        <v>49</v>
      </c>
      <c r="C140" s="80">
        <v>0.31</v>
      </c>
    </row>
    <row r="141" spans="2:3" x14ac:dyDescent="0.2">
      <c r="B141" s="12">
        <v>50</v>
      </c>
      <c r="C141" s="80">
        <v>0.3</v>
      </c>
    </row>
    <row r="142" spans="2:3" x14ac:dyDescent="0.2">
      <c r="B142" s="12">
        <v>51</v>
      </c>
      <c r="C142" s="80">
        <v>0.28999999999999998</v>
      </c>
    </row>
    <row r="143" spans="2:3" x14ac:dyDescent="0.2">
      <c r="B143" s="12">
        <v>52</v>
      </c>
      <c r="C143" s="80">
        <v>0.28999999999999998</v>
      </c>
    </row>
    <row r="144" spans="2:3" x14ac:dyDescent="0.2">
      <c r="B144" s="12">
        <v>53</v>
      </c>
      <c r="C144" s="80">
        <v>0.28000000000000003</v>
      </c>
    </row>
    <row r="145" spans="2:3" x14ac:dyDescent="0.2">
      <c r="B145" s="12">
        <v>54</v>
      </c>
      <c r="C145" s="80">
        <v>0.27</v>
      </c>
    </row>
    <row r="146" spans="2:3" x14ac:dyDescent="0.2">
      <c r="B146" s="12">
        <v>55</v>
      </c>
      <c r="C146" s="80">
        <v>0.26</v>
      </c>
    </row>
    <row r="147" spans="2:3" x14ac:dyDescent="0.2">
      <c r="B147" s="12">
        <v>56</v>
      </c>
      <c r="C147" s="80">
        <v>0.26</v>
      </c>
    </row>
    <row r="148" spans="2:3" x14ac:dyDescent="0.2">
      <c r="B148" s="12">
        <v>57</v>
      </c>
      <c r="C148" s="80">
        <v>0.25</v>
      </c>
    </row>
    <row r="149" spans="2:3" x14ac:dyDescent="0.2">
      <c r="B149" s="12">
        <v>58</v>
      </c>
      <c r="C149" s="80">
        <v>0.24</v>
      </c>
    </row>
    <row r="150" spans="2:3" x14ac:dyDescent="0.2">
      <c r="B150" s="12">
        <v>59</v>
      </c>
      <c r="C150" s="80">
        <v>0.23</v>
      </c>
    </row>
    <row r="151" spans="2:3" x14ac:dyDescent="0.2">
      <c r="B151" s="12">
        <v>60</v>
      </c>
      <c r="C151" s="80">
        <v>0.22</v>
      </c>
    </row>
    <row r="152" spans="2:3" x14ac:dyDescent="0.2">
      <c r="B152" s="12">
        <v>61</v>
      </c>
      <c r="C152" s="80">
        <v>0.22</v>
      </c>
    </row>
    <row r="153" spans="2:3" x14ac:dyDescent="0.2">
      <c r="B153" s="12">
        <v>62</v>
      </c>
      <c r="C153" s="80">
        <v>0.21</v>
      </c>
    </row>
    <row r="154" spans="2:3" x14ac:dyDescent="0.2">
      <c r="B154" s="12">
        <v>63</v>
      </c>
      <c r="C154" s="80">
        <v>0.2</v>
      </c>
    </row>
    <row r="155" spans="2:3" x14ac:dyDescent="0.2">
      <c r="B155" s="12">
        <v>64</v>
      </c>
      <c r="C155" s="80">
        <v>0.19</v>
      </c>
    </row>
    <row r="156" spans="2:3" x14ac:dyDescent="0.2">
      <c r="B156" s="12">
        <v>65</v>
      </c>
      <c r="C156" s="80">
        <v>0.18</v>
      </c>
    </row>
    <row r="157" spans="2:3" x14ac:dyDescent="0.2">
      <c r="B157" s="12">
        <v>66</v>
      </c>
      <c r="C157" s="80">
        <v>0.18</v>
      </c>
    </row>
    <row r="158" spans="2:3" x14ac:dyDescent="0.2">
      <c r="B158" s="12">
        <v>67</v>
      </c>
      <c r="C158" s="80">
        <v>0.17</v>
      </c>
    </row>
    <row r="159" spans="2:3" x14ac:dyDescent="0.2">
      <c r="B159" s="12">
        <v>68</v>
      </c>
      <c r="C159" s="80">
        <v>0.16</v>
      </c>
    </row>
    <row r="160" spans="2:3" x14ac:dyDescent="0.2">
      <c r="B160" s="12">
        <v>69</v>
      </c>
      <c r="C160" s="80">
        <v>0.15</v>
      </c>
    </row>
    <row r="161" spans="2:3" x14ac:dyDescent="0.2">
      <c r="B161" s="12">
        <v>70</v>
      </c>
      <c r="C161" s="80">
        <v>0.15</v>
      </c>
    </row>
    <row r="162" spans="2:3" x14ac:dyDescent="0.2">
      <c r="B162" s="12">
        <v>71</v>
      </c>
      <c r="C162" s="80">
        <v>0.14000000000000001</v>
      </c>
    </row>
    <row r="163" spans="2:3" x14ac:dyDescent="0.2">
      <c r="B163" s="12">
        <v>72</v>
      </c>
      <c r="C163" s="80">
        <v>0.13</v>
      </c>
    </row>
    <row r="164" spans="2:3" x14ac:dyDescent="0.2">
      <c r="B164" s="12">
        <v>73</v>
      </c>
      <c r="C164" s="80">
        <v>0.13</v>
      </c>
    </row>
    <row r="165" spans="2:3" x14ac:dyDescent="0.2">
      <c r="B165" s="12">
        <v>74</v>
      </c>
      <c r="C165" s="80">
        <v>0.12</v>
      </c>
    </row>
    <row r="166" spans="2:3" x14ac:dyDescent="0.2">
      <c r="B166" s="12">
        <v>75</v>
      </c>
      <c r="C166" s="80">
        <v>0.11</v>
      </c>
    </row>
    <row r="167" spans="2:3" x14ac:dyDescent="0.2">
      <c r="B167" s="12">
        <v>76</v>
      </c>
      <c r="C167" s="80">
        <v>0.1</v>
      </c>
    </row>
    <row r="168" spans="2:3" x14ac:dyDescent="0.2">
      <c r="B168" s="12">
        <v>77</v>
      </c>
      <c r="C168" s="80">
        <v>0.1</v>
      </c>
    </row>
    <row r="169" spans="2:3" x14ac:dyDescent="0.2">
      <c r="B169" s="12">
        <v>78</v>
      </c>
      <c r="C169" s="80">
        <v>0.09</v>
      </c>
    </row>
    <row r="170" spans="2:3" x14ac:dyDescent="0.2">
      <c r="B170" s="12">
        <v>79</v>
      </c>
      <c r="C170" s="80">
        <v>0.09</v>
      </c>
    </row>
    <row r="171" spans="2:3" x14ac:dyDescent="0.2">
      <c r="B171" s="12">
        <v>80</v>
      </c>
      <c r="C171" s="80">
        <v>0.08</v>
      </c>
    </row>
    <row r="172" spans="2:3" x14ac:dyDescent="0.2">
      <c r="B172" s="12">
        <v>81</v>
      </c>
      <c r="C172" s="80">
        <v>7.0000000000000007E-2</v>
      </c>
    </row>
    <row r="173" spans="2:3" x14ac:dyDescent="0.2">
      <c r="B173" s="12">
        <v>82</v>
      </c>
      <c r="C173" s="80">
        <v>7.0000000000000007E-2</v>
      </c>
    </row>
    <row r="174" spans="2:3" x14ac:dyDescent="0.2">
      <c r="B174" s="12">
        <v>83</v>
      </c>
      <c r="C174" s="80">
        <v>0.06</v>
      </c>
    </row>
    <row r="175" spans="2:3" x14ac:dyDescent="0.2">
      <c r="B175" s="12">
        <v>84</v>
      </c>
      <c r="C175" s="80">
        <v>0.06</v>
      </c>
    </row>
    <row r="176" spans="2:3" x14ac:dyDescent="0.2">
      <c r="B176" s="12">
        <v>85</v>
      </c>
      <c r="C176" s="80">
        <v>0.05</v>
      </c>
    </row>
    <row r="177" spans="2:3" x14ac:dyDescent="0.2">
      <c r="B177" s="12">
        <v>86</v>
      </c>
      <c r="C177" s="80">
        <v>0.05</v>
      </c>
    </row>
    <row r="178" spans="2:3" x14ac:dyDescent="0.2">
      <c r="B178" s="12">
        <v>87</v>
      </c>
      <c r="C178" s="80">
        <v>0.05</v>
      </c>
    </row>
    <row r="179" spans="2:3" x14ac:dyDescent="0.2">
      <c r="B179" s="12">
        <v>88</v>
      </c>
      <c r="C179" s="80">
        <v>0.04</v>
      </c>
    </row>
    <row r="180" spans="2:3" x14ac:dyDescent="0.2">
      <c r="B180" s="12">
        <v>89</v>
      </c>
      <c r="C180" s="80">
        <v>0.04</v>
      </c>
    </row>
    <row r="181" spans="2:3" x14ac:dyDescent="0.2">
      <c r="B181" s="12">
        <v>90</v>
      </c>
      <c r="C181" s="80">
        <v>0.04</v>
      </c>
    </row>
    <row r="182" spans="2:3" x14ac:dyDescent="0.2">
      <c r="B182" s="12">
        <v>91</v>
      </c>
      <c r="C182" s="80">
        <v>0.04</v>
      </c>
    </row>
    <row r="183" spans="2:3" x14ac:dyDescent="0.2">
      <c r="B183" s="12">
        <v>92</v>
      </c>
      <c r="C183" s="80">
        <v>0.03</v>
      </c>
    </row>
    <row r="184" spans="2:3" x14ac:dyDescent="0.2">
      <c r="B184" s="12">
        <v>93</v>
      </c>
      <c r="C184" s="80">
        <v>0.03</v>
      </c>
    </row>
    <row r="185" spans="2:3" x14ac:dyDescent="0.2">
      <c r="B185" s="12">
        <v>94</v>
      </c>
      <c r="C185" s="80">
        <v>0.02</v>
      </c>
    </row>
    <row r="186" spans="2:3" x14ac:dyDescent="0.2">
      <c r="B186" s="12">
        <v>95</v>
      </c>
      <c r="C186" s="80">
        <v>0.02</v>
      </c>
    </row>
    <row r="187" spans="2:3" x14ac:dyDescent="0.2">
      <c r="B187" s="12">
        <v>96</v>
      </c>
      <c r="C187" s="80">
        <v>0.01</v>
      </c>
    </row>
    <row r="188" spans="2:3" x14ac:dyDescent="0.2">
      <c r="B188" s="12">
        <v>97</v>
      </c>
      <c r="C188" s="80">
        <v>0.01</v>
      </c>
    </row>
    <row r="189" spans="2:3" x14ac:dyDescent="0.2">
      <c r="B189" s="12">
        <v>98</v>
      </c>
      <c r="C189" s="80">
        <v>0.01</v>
      </c>
    </row>
    <row r="190" spans="2:3" x14ac:dyDescent="0.2">
      <c r="B190" s="12">
        <v>99</v>
      </c>
      <c r="C190" s="80">
        <v>0.01</v>
      </c>
    </row>
    <row r="191" spans="2:3" x14ac:dyDescent="0.2">
      <c r="B191" s="12">
        <v>100</v>
      </c>
      <c r="C191" s="80">
        <v>0.01</v>
      </c>
    </row>
  </sheetData>
  <sheetProtection algorithmName="SHA-512" hashValue="6WAoNMp0a1CWEk7AilJwgAkux5EOettrx3IQ27ekBXuOar1AK7PqqWMbLOOvzv1BCYQykfZr4J9Htggou5saxw==" saltValue="Ky6avPyjntXH73Mo3SpYJw==" spinCount="100000" sheet="1" objects="1" scenarios="1"/>
  <mergeCells count="14">
    <mergeCell ref="B15:C15"/>
    <mergeCell ref="A1:E1"/>
    <mergeCell ref="A2:E2"/>
    <mergeCell ref="B4:D4"/>
    <mergeCell ref="B5:D5"/>
    <mergeCell ref="B7:D7"/>
    <mergeCell ref="B88:D88"/>
    <mergeCell ref="B89:C89"/>
    <mergeCell ref="B17:C17"/>
    <mergeCell ref="B28:C28"/>
    <mergeCell ref="B39:C39"/>
    <mergeCell ref="B59:C59"/>
    <mergeCell ref="B58:D58"/>
    <mergeCell ref="B86:D86"/>
  </mergeCells>
  <dataValidations count="1">
    <dataValidation type="decimal" operator="lessThanOrEqual" allowBlank="1" showInputMessage="1" showErrorMessage="1" error="Bitte tragen Sie nur ganze Zahlen bis maximal 30 % ein._x000a_" sqref="C60" xr:uid="{BD332D1D-7455-5C4E-B1A5-BBA5279FD956}">
      <formula1>0.3</formula1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2"/>
  <sheetViews>
    <sheetView showGridLines="0" zoomScale="195" zoomScaleNormal="195" workbookViewId="0">
      <selection activeCell="C7" sqref="C7"/>
    </sheetView>
  </sheetViews>
  <sheetFormatPr baseColWidth="10" defaultColWidth="8.6640625" defaultRowHeight="15" x14ac:dyDescent="0.2"/>
  <cols>
    <col min="1" max="1" width="2" customWidth="1"/>
    <col min="2" max="2" width="42" customWidth="1"/>
    <col min="3" max="3" width="29.83203125" customWidth="1"/>
    <col min="4" max="4" width="28" customWidth="1"/>
    <col min="5" max="5" width="2" customWidth="1"/>
  </cols>
  <sheetData>
    <row r="1" spans="1:5" ht="27.75" customHeight="1" x14ac:dyDescent="0.2">
      <c r="A1" s="97" t="s">
        <v>196</v>
      </c>
      <c r="B1" s="97"/>
      <c r="C1" s="97"/>
      <c r="D1" s="97"/>
      <c r="E1" s="97"/>
    </row>
    <row r="2" spans="1:5" ht="15.75" customHeight="1" x14ac:dyDescent="0.2">
      <c r="A2" s="98" t="s">
        <v>67</v>
      </c>
      <c r="B2" s="98"/>
      <c r="C2" s="98"/>
      <c r="D2" s="98"/>
      <c r="E2" s="98"/>
    </row>
    <row r="4" spans="1:5" ht="21.75" customHeight="1" x14ac:dyDescent="0.2">
      <c r="B4" s="99" t="s">
        <v>68</v>
      </c>
      <c r="C4" s="99"/>
      <c r="D4" s="99"/>
    </row>
    <row r="5" spans="1:5" ht="21" customHeight="1" x14ac:dyDescent="0.2">
      <c r="B5" s="27" t="s">
        <v>129</v>
      </c>
      <c r="C5" s="43">
        <f>Rechner!C10</f>
        <v>30</v>
      </c>
    </row>
    <row r="6" spans="1:5" ht="26" customHeight="1" x14ac:dyDescent="0.2">
      <c r="B6" s="4" t="s">
        <v>127</v>
      </c>
      <c r="C6" s="42" t="s">
        <v>125</v>
      </c>
    </row>
    <row r="7" spans="1:5" ht="26" customHeight="1" x14ac:dyDescent="0.2">
      <c r="B7" s="27" t="s">
        <v>199</v>
      </c>
      <c r="C7" s="51">
        <f>Rechner!C12</f>
        <v>0.42</v>
      </c>
    </row>
    <row r="9" spans="1:5" ht="21.75" customHeight="1" x14ac:dyDescent="0.2">
      <c r="B9" s="100" t="s">
        <v>69</v>
      </c>
      <c r="C9" s="100"/>
      <c r="D9" s="100"/>
    </row>
    <row r="10" spans="1:5" ht="18" customHeight="1" x14ac:dyDescent="0.2">
      <c r="B10" s="27" t="s">
        <v>70</v>
      </c>
      <c r="C10" s="31">
        <f>Auszahlung!C9</f>
        <v>178821.46446656165</v>
      </c>
    </row>
    <row r="11" spans="1:5" ht="18" customHeight="1" x14ac:dyDescent="0.2">
      <c r="B11" s="27" t="s">
        <v>186</v>
      </c>
      <c r="C11" s="31">
        <f>Auszahlung!C10</f>
        <v>178821.46446656165</v>
      </c>
    </row>
    <row r="12" spans="1:5" ht="18" customHeight="1" x14ac:dyDescent="0.2">
      <c r="B12" s="27" t="s">
        <v>187</v>
      </c>
      <c r="C12" s="31">
        <f>Auszahlung!C11</f>
        <v>0</v>
      </c>
    </row>
    <row r="13" spans="1:5" ht="18" customHeight="1" x14ac:dyDescent="0.2">
      <c r="B13" s="27" t="s">
        <v>71</v>
      </c>
      <c r="C13" s="31">
        <f>Jahresverlauf!C93+Jahresverlauf!C139</f>
        <v>54000</v>
      </c>
    </row>
    <row r="14" spans="1:5" ht="18" customHeight="1" x14ac:dyDescent="0.2">
      <c r="B14" s="27" t="s">
        <v>194</v>
      </c>
      <c r="C14" s="31">
        <f>Jahresverlauf!C93</f>
        <v>54000</v>
      </c>
    </row>
    <row r="15" spans="1:5" ht="18" customHeight="1" x14ac:dyDescent="0.2">
      <c r="B15" s="27" t="s">
        <v>195</v>
      </c>
      <c r="C15" s="31">
        <f>Jahresverlauf!C139</f>
        <v>0</v>
      </c>
    </row>
    <row r="16" spans="1:5" ht="18" customHeight="1" x14ac:dyDescent="0.2">
      <c r="B16" s="27" t="s">
        <v>72</v>
      </c>
      <c r="C16" s="31">
        <f>Rechner!C36*C5</f>
        <v>16200</v>
      </c>
    </row>
    <row r="17" spans="2:4" ht="18" customHeight="1" x14ac:dyDescent="0.2">
      <c r="B17" s="27" t="s">
        <v>73</v>
      </c>
      <c r="C17" s="32" t="str">
        <f>IF(AND(C5&gt;=12,C6="JA"),"JA – Halbeinkünfte anwendbar","NEIN – voller Ertragsanteil steuerpflichtig")</f>
        <v>JA – Halbeinkünfte anwendbar</v>
      </c>
    </row>
    <row r="18" spans="2:4" ht="26" customHeight="1" x14ac:dyDescent="0.2">
      <c r="B18" s="27" t="s">
        <v>74</v>
      </c>
      <c r="C18" s="31">
        <f>IF(LEFT(Rechner!C18,2)="JA",Rechner!C44,0)</f>
        <v>442.79999999999995</v>
      </c>
    </row>
    <row r="20" spans="2:4" ht="21.75" customHeight="1" x14ac:dyDescent="0.2">
      <c r="B20" s="100" t="s">
        <v>75</v>
      </c>
      <c r="C20" s="100"/>
      <c r="D20" s="100"/>
    </row>
    <row r="21" spans="2:4" ht="23" customHeight="1" x14ac:dyDescent="0.2">
      <c r="B21" s="34" t="s">
        <v>76</v>
      </c>
      <c r="C21" s="35">
        <f>C16</f>
        <v>16200</v>
      </c>
      <c r="D21" s="36" t="s">
        <v>77</v>
      </c>
    </row>
    <row r="22" spans="2:4" ht="24" customHeight="1" x14ac:dyDescent="0.2">
      <c r="B22" s="34" t="s">
        <v>78</v>
      </c>
      <c r="C22" s="35">
        <f>C18*C5</f>
        <v>13283.999999999998</v>
      </c>
      <c r="D22" s="36" t="s">
        <v>79</v>
      </c>
    </row>
    <row r="23" spans="2:4" ht="27" customHeight="1" x14ac:dyDescent="0.2">
      <c r="B23" s="10" t="s">
        <v>80</v>
      </c>
      <c r="C23" s="1">
        <f>C21+C22</f>
        <v>29484</v>
      </c>
      <c r="D23" s="37" t="s">
        <v>81</v>
      </c>
    </row>
    <row r="24" spans="2:4" ht="18" customHeight="1" x14ac:dyDescent="0.2">
      <c r="B24" s="27" t="s">
        <v>82</v>
      </c>
      <c r="C24" s="31">
        <f>C10-C23</f>
        <v>149337.46446656165</v>
      </c>
      <c r="D24" s="38"/>
    </row>
    <row r="25" spans="2:4" ht="24" customHeight="1" x14ac:dyDescent="0.2">
      <c r="B25" s="27" t="s">
        <v>83</v>
      </c>
      <c r="C25" s="31">
        <f>C13</f>
        <v>54000</v>
      </c>
      <c r="D25" s="38" t="s">
        <v>84</v>
      </c>
    </row>
    <row r="26" spans="2:4" ht="26" customHeight="1" x14ac:dyDescent="0.2">
      <c r="B26" s="34" t="s">
        <v>85</v>
      </c>
      <c r="C26" s="35">
        <f>MAX(0,C24-C25)</f>
        <v>95337.464466561651</v>
      </c>
      <c r="D26" s="36" t="s">
        <v>86</v>
      </c>
    </row>
    <row r="27" spans="2:4" ht="18" customHeight="1" x14ac:dyDescent="0.2">
      <c r="B27" s="27" t="s">
        <v>87</v>
      </c>
      <c r="C27" s="32" t="str">
        <f>C17</f>
        <v>JA – Halbeinkünfte anwendbar</v>
      </c>
      <c r="D27" s="38" t="s">
        <v>88</v>
      </c>
    </row>
    <row r="28" spans="2:4" ht="18" customHeight="1" x14ac:dyDescent="0.2">
      <c r="B28" s="27" t="s">
        <v>89</v>
      </c>
      <c r="C28" s="31">
        <f>IF(AND(C5&gt;=12,C6="JA"),C26*0.5,C26)</f>
        <v>47668.732233280825</v>
      </c>
      <c r="D28" s="38"/>
    </row>
    <row r="29" spans="2:4" ht="21" customHeight="1" x14ac:dyDescent="0.2">
      <c r="B29" s="34" t="s">
        <v>147</v>
      </c>
      <c r="C29" s="35">
        <f>C28*C7</f>
        <v>20020.867537977945</v>
      </c>
      <c r="D29" s="36" t="s">
        <v>90</v>
      </c>
    </row>
    <row r="30" spans="2:4" ht="18" customHeight="1" x14ac:dyDescent="0.2">
      <c r="B30" s="10" t="s">
        <v>91</v>
      </c>
      <c r="C30" s="1">
        <f>C10-C23-C29</f>
        <v>129316.59692858371</v>
      </c>
      <c r="D30" s="37" t="s">
        <v>92</v>
      </c>
    </row>
    <row r="32" spans="2:4" ht="43.5" customHeight="1" x14ac:dyDescent="0.2">
      <c r="B32" s="96" t="s">
        <v>134</v>
      </c>
      <c r="C32" s="96"/>
      <c r="D32" s="96"/>
    </row>
  </sheetData>
  <mergeCells count="6">
    <mergeCell ref="B32:D32"/>
    <mergeCell ref="A1:E1"/>
    <mergeCell ref="A2:E2"/>
    <mergeCell ref="B4:D4"/>
    <mergeCell ref="B9:D9"/>
    <mergeCell ref="B20:D20"/>
  </mergeCell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"/>
  <sheetViews>
    <sheetView showGridLines="0" zoomScale="175" zoomScaleNormal="175" workbookViewId="0">
      <selection sqref="A1:M1"/>
    </sheetView>
  </sheetViews>
  <sheetFormatPr baseColWidth="10" defaultColWidth="8.6640625" defaultRowHeight="15" x14ac:dyDescent="0.2"/>
  <sheetData>
    <row r="1" spans="1:13" ht="30" customHeight="1" x14ac:dyDescent="0.2">
      <c r="A1" s="119" t="s">
        <v>93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</row>
    <row r="2" spans="1:13" ht="15.75" customHeight="1" x14ac:dyDescent="0.2">
      <c r="A2" s="98" t="s">
        <v>94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</row>
  </sheetData>
  <sheetProtection algorithmName="SHA-512" hashValue="Cd+toqo+I4fl0zdup6E8mvpZoXoj7XOtbbugdCjkRO7ZtmzhR3tzKFm443u3lFeJPO0F3ZhkZTVM2q/NqjgKLQ==" saltValue="t+0h1obQo515o3rU4up/jw==" spinCount="100000" sheet="1" objects="1" scenarios="1"/>
  <mergeCells count="2">
    <mergeCell ref="A1:M1"/>
    <mergeCell ref="A2:M2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81"/>
  <sheetViews>
    <sheetView showGridLines="0" zoomScale="204" zoomScaleNormal="204" workbookViewId="0">
      <selection activeCell="B19" sqref="B19"/>
    </sheetView>
  </sheetViews>
  <sheetFormatPr baseColWidth="10" defaultColWidth="8.6640625" defaultRowHeight="15" x14ac:dyDescent="0.2"/>
  <cols>
    <col min="1" max="1" width="2" customWidth="1"/>
    <col min="2" max="2" width="68" customWidth="1"/>
    <col min="3" max="3" width="2" customWidth="1"/>
  </cols>
  <sheetData>
    <row r="1" spans="1:3" ht="27.75" customHeight="1" x14ac:dyDescent="0.2">
      <c r="A1" s="119" t="s">
        <v>95</v>
      </c>
      <c r="B1" s="119"/>
      <c r="C1" s="119"/>
    </row>
    <row r="3" spans="1:3" ht="18" customHeight="1" x14ac:dyDescent="0.2">
      <c r="B3" s="11" t="s">
        <v>96</v>
      </c>
    </row>
    <row r="4" spans="1:3" ht="18" customHeight="1" x14ac:dyDescent="0.2">
      <c r="B4" s="4" t="s">
        <v>97</v>
      </c>
    </row>
    <row r="5" spans="1:3" ht="7.5" customHeight="1" x14ac:dyDescent="0.2">
      <c r="B5" s="5"/>
    </row>
    <row r="6" spans="1:3" ht="18" customHeight="1" x14ac:dyDescent="0.2">
      <c r="B6" s="30" t="s">
        <v>98</v>
      </c>
    </row>
    <row r="7" spans="1:3" ht="18" customHeight="1" x14ac:dyDescent="0.2">
      <c r="B7" s="6" t="s">
        <v>99</v>
      </c>
    </row>
    <row r="8" spans="1:3" ht="18" customHeight="1" x14ac:dyDescent="0.2">
      <c r="B8" s="6" t="s">
        <v>100</v>
      </c>
    </row>
    <row r="9" spans="1:3" ht="29" customHeight="1" x14ac:dyDescent="0.2">
      <c r="B9" s="6" t="s">
        <v>101</v>
      </c>
    </row>
    <row r="10" spans="1:3" ht="23" customHeight="1" x14ac:dyDescent="0.2">
      <c r="B10" s="6" t="s">
        <v>102</v>
      </c>
    </row>
    <row r="11" spans="1:3" ht="18" customHeight="1" x14ac:dyDescent="0.2">
      <c r="B11" s="6" t="s">
        <v>103</v>
      </c>
    </row>
    <row r="12" spans="1:3" ht="7.5" customHeight="1" x14ac:dyDescent="0.2">
      <c r="B12" s="5"/>
    </row>
    <row r="13" spans="1:3" ht="18" customHeight="1" x14ac:dyDescent="0.2">
      <c r="B13" s="30" t="s">
        <v>104</v>
      </c>
    </row>
    <row r="14" spans="1:3" ht="18" customHeight="1" x14ac:dyDescent="0.2">
      <c r="B14" s="6" t="s">
        <v>135</v>
      </c>
    </row>
    <row r="15" spans="1:3" ht="26" x14ac:dyDescent="0.2">
      <c r="B15" s="6" t="s">
        <v>105</v>
      </c>
    </row>
    <row r="16" spans="1:3" ht="26" x14ac:dyDescent="0.2">
      <c r="B16" s="6" t="s">
        <v>106</v>
      </c>
    </row>
    <row r="17" spans="2:2" ht="18" customHeight="1" x14ac:dyDescent="0.2">
      <c r="B17" s="6" t="s">
        <v>107</v>
      </c>
    </row>
    <row r="18" spans="2:2" ht="7.5" customHeight="1" x14ac:dyDescent="0.2">
      <c r="B18" s="5"/>
    </row>
    <row r="19" spans="2:2" ht="18" customHeight="1" x14ac:dyDescent="0.2">
      <c r="B19" s="30" t="s">
        <v>108</v>
      </c>
    </row>
    <row r="20" spans="2:2" ht="26" x14ac:dyDescent="0.2">
      <c r="B20" s="6" t="s">
        <v>109</v>
      </c>
    </row>
    <row r="21" spans="2:2" ht="18" customHeight="1" x14ac:dyDescent="0.2">
      <c r="B21" s="6" t="s">
        <v>110</v>
      </c>
    </row>
    <row r="22" spans="2:2" ht="18" customHeight="1" x14ac:dyDescent="0.2">
      <c r="B22" s="6" t="s">
        <v>111</v>
      </c>
    </row>
    <row r="23" spans="2:2" ht="18" customHeight="1" x14ac:dyDescent="0.2">
      <c r="B23" s="6" t="s">
        <v>112</v>
      </c>
    </row>
    <row r="24" spans="2:2" ht="7.5" customHeight="1" x14ac:dyDescent="0.2">
      <c r="B24" s="5"/>
    </row>
    <row r="25" spans="2:2" ht="18" customHeight="1" x14ac:dyDescent="0.2">
      <c r="B25" s="30" t="s">
        <v>113</v>
      </c>
    </row>
    <row r="26" spans="2:2" ht="18" customHeight="1" x14ac:dyDescent="0.2">
      <c r="B26" s="6" t="s">
        <v>114</v>
      </c>
    </row>
    <row r="27" spans="2:2" ht="18" customHeight="1" x14ac:dyDescent="0.2">
      <c r="B27" s="6" t="s">
        <v>115</v>
      </c>
    </row>
    <row r="28" spans="2:2" ht="7.5" customHeight="1" x14ac:dyDescent="0.2">
      <c r="B28" s="5"/>
    </row>
    <row r="29" spans="2:2" ht="18" customHeight="1" x14ac:dyDescent="0.2">
      <c r="B29" s="30" t="s">
        <v>116</v>
      </c>
    </row>
    <row r="30" spans="2:2" ht="18" customHeight="1" x14ac:dyDescent="0.2">
      <c r="B30" s="6" t="s">
        <v>117</v>
      </c>
    </row>
    <row r="31" spans="2:2" ht="18" customHeight="1" x14ac:dyDescent="0.2">
      <c r="B31" s="6" t="s">
        <v>118</v>
      </c>
    </row>
    <row r="32" spans="2:2" ht="18" customHeight="1" x14ac:dyDescent="0.2">
      <c r="B32" s="6" t="s">
        <v>119</v>
      </c>
    </row>
    <row r="33" spans="2:2" ht="28" customHeight="1" x14ac:dyDescent="0.2">
      <c r="B33" s="6" t="s">
        <v>139</v>
      </c>
    </row>
    <row r="34" spans="2:2" ht="18" customHeight="1" x14ac:dyDescent="0.2">
      <c r="B34" s="40" t="s">
        <v>120</v>
      </c>
    </row>
    <row r="35" spans="2:2" ht="18" customHeight="1" x14ac:dyDescent="0.2">
      <c r="B35" s="40" t="s">
        <v>136</v>
      </c>
    </row>
    <row r="36" spans="2:2" ht="7.5" customHeight="1" x14ac:dyDescent="0.2">
      <c r="B36" s="5"/>
    </row>
    <row r="37" spans="2:2" ht="18" customHeight="1" x14ac:dyDescent="0.2"/>
    <row r="81" spans="2:2" x14ac:dyDescent="0.2">
      <c r="B81" s="30" t="s">
        <v>121</v>
      </c>
    </row>
  </sheetData>
  <sheetProtection algorithmName="SHA-512" hashValue="VKfnBXOnGuEgSgPN4SODuAKgdZelwx3F6SYxBe78pXkzi4mCdk1e9daa3GacKLGGp3JHjHKYL1gYMHBGGtS4kQ==" saltValue="iUC/6GLEz+VR08mywZyw5g==" spinCount="100000" sheet="1" objects="1" scenarios="1"/>
  <mergeCells count="1">
    <mergeCell ref="A1:C1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Rechner</vt:lpstr>
      <vt:lpstr>Jahresverlauf</vt:lpstr>
      <vt:lpstr>Auszahlung</vt:lpstr>
      <vt:lpstr>Kündigung</vt:lpstr>
      <vt:lpstr>Diagramm</vt:lpstr>
      <vt:lpstr>Erläuterungen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Michael Schäfer</cp:lastModifiedBy>
  <cp:revision>3</cp:revision>
  <dcterms:created xsi:type="dcterms:W3CDTF">2026-03-31T08:11:34Z</dcterms:created>
  <dcterms:modified xsi:type="dcterms:W3CDTF">2026-04-02T17:05:33Z</dcterms:modified>
  <dc:language>en-US</dc:language>
</cp:coreProperties>
</file>